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drawings/drawing6.xml" ContentType="application/vnd.openxmlformats-officedocument.drawing+xml"/>
  <Override PartName="/xl/embeddings/oleObject2.bin" ContentType="application/vnd.openxmlformats-officedocument.oleObject"/>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Administrator\Desktop\新しいフォルダー\"/>
    </mc:Choice>
  </mc:AlternateContent>
  <bookViews>
    <workbookView xWindow="-15" yWindow="4110" windowWidth="15420" windowHeight="4155" tabRatio="779"/>
  </bookViews>
  <sheets>
    <sheet name="表紙" sheetId="8" r:id="rId1"/>
    <sheet name="◆入力◆①配管容量" sheetId="5" r:id="rId2"/>
    <sheet name="②「流量A」 計算" sheetId="2" r:id="rId3"/>
    <sheet name="③「流量B」計算" sheetId="3" r:id="rId4"/>
    <sheet name="◆入力◆④「1個放水」計算" sheetId="1" r:id="rId5"/>
    <sheet name="◆入力◆⑤「4個同時放水」計算" sheetId="7" r:id="rId6"/>
    <sheet name="⑥放水試験圧力" sheetId="4" r:id="rId7"/>
  </sheets>
  <definedNames>
    <definedName name="①個">INDIRECT(表紙!#REF!)</definedName>
    <definedName name="①個計算例">INDIRECT(◆入力◆④「1個放水」計算!$AK$144)</definedName>
    <definedName name="④個">INDIRECT(表紙!#REF!)</definedName>
    <definedName name="④個計算例">INDIRECT(◆入力◆⑤「4個同時放水」計算!$AK$143)</definedName>
    <definedName name="Ａ">INDIRECT(表紙!#REF!)</definedName>
    <definedName name="aaa">INDIRECT(◆入力◆①配管容量!$H$31:$K$31)</definedName>
    <definedName name="Ｂ">INDIRECT(表紙!#REF!)</definedName>
    <definedName name="_xlnm.Print_Area" localSheetId="1">◆入力◆①配管容量!$F$1:$Q$62</definedName>
    <definedName name="_xlnm.Print_Area" localSheetId="4">◆入力◆④「1個放水」計算!$F$1:$AB$54</definedName>
    <definedName name="_xlnm.Print_Area" localSheetId="5">◆入力◆⑤「4個同時放水」計算!$F$1:$AB$54</definedName>
    <definedName name="_xlnm.Print_Area" localSheetId="2">'②「流量A」 計算'!$F$1:$AB$54</definedName>
    <definedName name="_xlnm.Print_Area" localSheetId="3">③「流量B」計算!$F$1:$AB$54</definedName>
    <definedName name="_xlnm.Print_Area" localSheetId="6">⑥放水試験圧力!$F$1:$AB$54</definedName>
    <definedName name="_xlnm.Print_Area" localSheetId="0">表紙!$A$1:$J$125</definedName>
    <definedName name="ブポ１個">表紙!$M$68:$T$85</definedName>
    <definedName name="ブポ１個計算例">◆入力◆④「1個放水」計算!$I$162:$AA$179</definedName>
    <definedName name="ブポ４個">表紙!$M$88:$T$105</definedName>
    <definedName name="ブポ４個計算例">◆入力◆⑤「4個同時放水」計算!$I$162:$AA$179</definedName>
    <definedName name="ブポＡ">表紙!$M$28:$T$45</definedName>
    <definedName name="ブポＢ">表紙!$M$48:$T$65</definedName>
    <definedName name="ブポ容積">表紙!$M$8:$T$25</definedName>
    <definedName name="水直１個">表紙!#REF!</definedName>
    <definedName name="水直１個計算例">◆入力◆④「1個放水」計算!$I$123:$AA$139</definedName>
    <definedName name="水直４個">表紙!#REF!</definedName>
    <definedName name="水直４個計算例">◆入力◆⑤「4個同時放水」計算!$I$123:$AA$139</definedName>
    <definedName name="水直Ａ">表紙!#REF!</definedName>
    <definedName name="水直Ｂ">表紙!#REF!</definedName>
    <definedName name="水直容積">表紙!#REF!</definedName>
    <definedName name="水道から直接給水">◆入力◆①配管容量!$AC$2:$AK$18</definedName>
    <definedName name="水道用ブースターポンプを設置">◆入力◆①配管容量!$AC$38:$AK$55</definedName>
    <definedName name="専ポ１個">表紙!#REF!</definedName>
    <definedName name="専ポ１個計算例">◆入力◆④「1個放水」計算!$I$142:$AA$159</definedName>
    <definedName name="専ポ４個">表紙!#REF!</definedName>
    <definedName name="専ポ４個計算例">◆入力◆⑤「4個同時放水」計算!$I$142:$AA$159</definedName>
    <definedName name="専ポＡ">表紙!#REF!</definedName>
    <definedName name="専ポＢ">表紙!#REF!</definedName>
    <definedName name="専ポ容積">表紙!#REF!</definedName>
    <definedName name="専用の消火ポンプを設置">◆入力◆①配管容量!$AC$19:$AK$37</definedName>
    <definedName name="容積">INDIRECT(表紙!#REF!)</definedName>
  </definedNames>
  <calcPr calcId="152511"/>
</workbook>
</file>

<file path=xl/calcChain.xml><?xml version="1.0" encoding="utf-8"?>
<calcChain xmlns="http://schemas.openxmlformats.org/spreadsheetml/2006/main">
  <c r="M15" i="5" l="1"/>
  <c r="O15" i="5" s="1"/>
  <c r="M14" i="5"/>
  <c r="M13" i="5"/>
  <c r="M12" i="5"/>
  <c r="M11" i="5"/>
  <c r="H15" i="5"/>
  <c r="H14" i="5"/>
  <c r="H13" i="5"/>
  <c r="H12" i="5"/>
  <c r="H11" i="5"/>
  <c r="L15" i="5"/>
  <c r="L14" i="5"/>
  <c r="L13" i="5"/>
  <c r="L12" i="5"/>
  <c r="L11" i="5"/>
  <c r="G15" i="5"/>
  <c r="G14" i="5"/>
  <c r="G13" i="5"/>
  <c r="G12" i="5"/>
  <c r="G11" i="5"/>
  <c r="N3" i="5"/>
  <c r="K20" i="7"/>
  <c r="Z41" i="7"/>
  <c r="Z40" i="7"/>
  <c r="Z13" i="7"/>
  <c r="Z14" i="7"/>
  <c r="Z16" i="7"/>
  <c r="Z17" i="7"/>
  <c r="Z19" i="7"/>
  <c r="Z20" i="7"/>
  <c r="Z22" i="7"/>
  <c r="Z23" i="7"/>
  <c r="Z25" i="7"/>
  <c r="Z26" i="7"/>
  <c r="Z28" i="7"/>
  <c r="Z29" i="7"/>
  <c r="Z31" i="7"/>
  <c r="Z32" i="7"/>
  <c r="Z34" i="7"/>
  <c r="Z35" i="7"/>
  <c r="Z37" i="7"/>
  <c r="Z38" i="7"/>
  <c r="Z11" i="7"/>
  <c r="Z10" i="7"/>
  <c r="Z11" i="2"/>
  <c r="Z11" i="1"/>
  <c r="Z10" i="1"/>
  <c r="K41" i="7"/>
  <c r="AL136" i="7" s="1"/>
  <c r="AP137" i="7" s="1"/>
  <c r="AO137" i="7" s="1"/>
  <c r="AL109" i="7"/>
  <c r="AP110" i="7" s="1"/>
  <c r="AO110" i="7" s="1"/>
  <c r="AL112" i="7"/>
  <c r="AQ112" i="7" s="1"/>
  <c r="AL106" i="7"/>
  <c r="AQ106" i="7" s="1"/>
  <c r="AP108" i="7"/>
  <c r="AO108" i="7" s="1"/>
  <c r="I40" i="7"/>
  <c r="Z41" i="1"/>
  <c r="Z40" i="1"/>
  <c r="K41" i="1"/>
  <c r="AL137" i="1" s="1"/>
  <c r="I40" i="1"/>
  <c r="Z14" i="1"/>
  <c r="Z19" i="1"/>
  <c r="Z20" i="1"/>
  <c r="Z22" i="1"/>
  <c r="Z23" i="1"/>
  <c r="Z25" i="1"/>
  <c r="Z26" i="1"/>
  <c r="Z28" i="1"/>
  <c r="Z29" i="1"/>
  <c r="Z31" i="1"/>
  <c r="Z32" i="1"/>
  <c r="Z34" i="1"/>
  <c r="Z35" i="1"/>
  <c r="Z37" i="1"/>
  <c r="Z38" i="1"/>
  <c r="AL107" i="1"/>
  <c r="AN109" i="1" s="1"/>
  <c r="AP109" i="1"/>
  <c r="AP108" i="1"/>
  <c r="T77" i="7"/>
  <c r="N77" i="7"/>
  <c r="AB77" i="7" s="1"/>
  <c r="I4" i="5"/>
  <c r="AK141" i="7"/>
  <c r="AK143" i="7" s="1"/>
  <c r="AK142" i="1"/>
  <c r="AK144" i="1" s="1"/>
  <c r="L47" i="5"/>
  <c r="I48" i="1"/>
  <c r="I48" i="4"/>
  <c r="I48" i="2"/>
  <c r="I37" i="7"/>
  <c r="I34" i="7"/>
  <c r="I31" i="7"/>
  <c r="I28" i="7"/>
  <c r="I25" i="7"/>
  <c r="I22" i="7"/>
  <c r="I19" i="7"/>
  <c r="I16" i="7"/>
  <c r="I13" i="7"/>
  <c r="I10" i="7"/>
  <c r="I10" i="1"/>
  <c r="AP107" i="7" l="1"/>
  <c r="AO107" i="7" s="1"/>
  <c r="AP113" i="7"/>
  <c r="AO113" i="7" s="1"/>
  <c r="AP106" i="7"/>
  <c r="AO106" i="7" s="1"/>
  <c r="AN108" i="7"/>
  <c r="AR108" i="7"/>
  <c r="AP109" i="7"/>
  <c r="AO109" i="7" s="1"/>
  <c r="AN111" i="7"/>
  <c r="AR111" i="7"/>
  <c r="AP112" i="7"/>
  <c r="AO112" i="7" s="1"/>
  <c r="AN114" i="7"/>
  <c r="AR114" i="7"/>
  <c r="AP136" i="7"/>
  <c r="AO136" i="7" s="1"/>
  <c r="AN138" i="7"/>
  <c r="AR138" i="7"/>
  <c r="AN107" i="7"/>
  <c r="AR107" i="7"/>
  <c r="AQ108" i="7"/>
  <c r="AN110" i="7"/>
  <c r="AR110" i="7"/>
  <c r="AQ111" i="7"/>
  <c r="AN113" i="7"/>
  <c r="AR113" i="7"/>
  <c r="AQ114" i="7"/>
  <c r="AN137" i="7"/>
  <c r="AR137" i="7"/>
  <c r="AQ138" i="7"/>
  <c r="AN106" i="7"/>
  <c r="AR106" i="7"/>
  <c r="AQ107" i="7"/>
  <c r="AN109" i="7"/>
  <c r="AR109" i="7"/>
  <c r="AQ110" i="7"/>
  <c r="AP111" i="7"/>
  <c r="AO111" i="7" s="1"/>
  <c r="AN112" i="7"/>
  <c r="AR112" i="7"/>
  <c r="AQ113" i="7"/>
  <c r="AP114" i="7"/>
  <c r="AO114" i="7" s="1"/>
  <c r="AN136" i="7"/>
  <c r="AR136" i="7"/>
  <c r="AQ137" i="7"/>
  <c r="AP138" i="7"/>
  <c r="AO138" i="7" s="1"/>
  <c r="AQ109" i="7"/>
  <c r="AQ136" i="7"/>
  <c r="AN108" i="1"/>
  <c r="AN107" i="1"/>
  <c r="AP107" i="1"/>
  <c r="AO107" i="1" s="1"/>
  <c r="AR108" i="1"/>
  <c r="X85" i="7"/>
  <c r="R86" i="7"/>
  <c r="R85" i="7"/>
  <c r="X82" i="1"/>
  <c r="R82" i="1"/>
  <c r="S83" i="1" s="1"/>
  <c r="T83" i="1" s="1"/>
  <c r="T107" i="1" s="1"/>
  <c r="N86" i="7"/>
  <c r="N107" i="7" s="1"/>
  <c r="N83" i="1"/>
  <c r="AR107" i="1"/>
  <c r="AO109" i="1"/>
  <c r="AQ107" i="1"/>
  <c r="AQ108" i="1"/>
  <c r="AR109" i="1"/>
  <c r="AO108" i="1"/>
  <c r="AQ109" i="1"/>
  <c r="W40" i="1"/>
  <c r="X40" i="1" s="1"/>
  <c r="I37" i="1"/>
  <c r="W39" i="1" s="1"/>
  <c r="X39" i="1" s="1"/>
  <c r="I34" i="1"/>
  <c r="W35" i="1" s="1"/>
  <c r="X35" i="1" s="1"/>
  <c r="I31" i="1"/>
  <c r="W33" i="1" s="1"/>
  <c r="X33" i="1" s="1"/>
  <c r="I28" i="1"/>
  <c r="W28" i="1" s="1"/>
  <c r="X28" i="1" s="1"/>
  <c r="I25" i="1"/>
  <c r="W27" i="1" s="1"/>
  <c r="X27" i="1" s="1"/>
  <c r="I22" i="1"/>
  <c r="W23" i="1" s="1"/>
  <c r="X23" i="1" s="1"/>
  <c r="I19" i="1"/>
  <c r="I21" i="1" s="1"/>
  <c r="I16" i="1"/>
  <c r="I13" i="1"/>
  <c r="Q13" i="1" s="1"/>
  <c r="R13" i="1" s="1"/>
  <c r="Q12" i="1"/>
  <c r="R12" i="1" s="1"/>
  <c r="AL115" i="7"/>
  <c r="AQ115" i="7" s="1"/>
  <c r="AM45" i="5"/>
  <c r="AM36" i="5"/>
  <c r="L53" i="5" s="1"/>
  <c r="AC11" i="2"/>
  <c r="AD11" i="2"/>
  <c r="AE11" i="2"/>
  <c r="AF11" i="2"/>
  <c r="AG11" i="2"/>
  <c r="AH11" i="2"/>
  <c r="AI11" i="2"/>
  <c r="AC12" i="2"/>
  <c r="AD12" i="2"/>
  <c r="AE12" i="2"/>
  <c r="AF12" i="2"/>
  <c r="AG12" i="2"/>
  <c r="AH12" i="2"/>
  <c r="AI12" i="2"/>
  <c r="I48" i="7"/>
  <c r="L5" i="1"/>
  <c r="K53" i="7"/>
  <c r="L47" i="7"/>
  <c r="AI42" i="7"/>
  <c r="AH42" i="7"/>
  <c r="AG42" i="7"/>
  <c r="AF42" i="7"/>
  <c r="AE42" i="7"/>
  <c r="AD42" i="7"/>
  <c r="AC42" i="7"/>
  <c r="W42" i="7"/>
  <c r="X42" i="7" s="1"/>
  <c r="Q42" i="7"/>
  <c r="R42" i="7" s="1"/>
  <c r="O42" i="7"/>
  <c r="I42" i="7"/>
  <c r="L41" i="7" s="1"/>
  <c r="AI41" i="7"/>
  <c r="AH41" i="7"/>
  <c r="AG41" i="7"/>
  <c r="AF41" i="7"/>
  <c r="AE41" i="7"/>
  <c r="AD41" i="7"/>
  <c r="AC41" i="7"/>
  <c r="W41" i="7"/>
  <c r="X41" i="7" s="1"/>
  <c r="Q41" i="7"/>
  <c r="R41" i="7" s="1"/>
  <c r="O41" i="7"/>
  <c r="H41" i="7"/>
  <c r="AI40" i="7"/>
  <c r="AH40" i="7"/>
  <c r="AG40" i="7"/>
  <c r="AF40" i="7"/>
  <c r="AE40" i="7"/>
  <c r="AD40" i="7"/>
  <c r="AC40" i="7"/>
  <c r="W40" i="7"/>
  <c r="X40" i="7" s="1"/>
  <c r="Q40" i="7"/>
  <c r="R40" i="7" s="1"/>
  <c r="O40" i="7"/>
  <c r="AI39" i="7"/>
  <c r="AH39" i="7"/>
  <c r="AG39" i="7"/>
  <c r="AF39" i="7"/>
  <c r="AE39" i="7"/>
  <c r="AD39" i="7"/>
  <c r="AC39" i="7"/>
  <c r="W39" i="7"/>
  <c r="X39" i="7" s="1"/>
  <c r="Q39" i="7"/>
  <c r="R39" i="7" s="1"/>
  <c r="O39" i="7"/>
  <c r="I39" i="7"/>
  <c r="AI38" i="7"/>
  <c r="AH38" i="7"/>
  <c r="AG38" i="7"/>
  <c r="AF38" i="7"/>
  <c r="AE38" i="7"/>
  <c r="AD38" i="7"/>
  <c r="AC38" i="7"/>
  <c r="W38" i="7"/>
  <c r="X38" i="7" s="1"/>
  <c r="Q38" i="7"/>
  <c r="R38" i="7" s="1"/>
  <c r="O38" i="7"/>
  <c r="L38" i="7"/>
  <c r="K38" i="7"/>
  <c r="AL133" i="7" s="1"/>
  <c r="AP134" i="7" s="1"/>
  <c r="AO134" i="7" s="1"/>
  <c r="H38" i="7"/>
  <c r="AI37" i="7"/>
  <c r="AH37" i="7"/>
  <c r="AG37" i="7"/>
  <c r="AF37" i="7"/>
  <c r="AE37" i="7"/>
  <c r="AD37" i="7"/>
  <c r="AC37" i="7"/>
  <c r="W37" i="7"/>
  <c r="X37" i="7" s="1"/>
  <c r="Q37" i="7"/>
  <c r="R37" i="7" s="1"/>
  <c r="O37" i="7"/>
  <c r="AI36" i="7"/>
  <c r="AH36" i="7"/>
  <c r="AG36" i="7"/>
  <c r="AF36" i="7"/>
  <c r="AE36" i="7"/>
  <c r="AD36" i="7"/>
  <c r="AC36" i="7"/>
  <c r="W36" i="7"/>
  <c r="X36" i="7" s="1"/>
  <c r="Q36" i="7"/>
  <c r="R36" i="7" s="1"/>
  <c r="O36" i="7"/>
  <c r="I36" i="7"/>
  <c r="AI35" i="7"/>
  <c r="AH35" i="7"/>
  <c r="AG35" i="7"/>
  <c r="AF35" i="7"/>
  <c r="AE35" i="7"/>
  <c r="AD35" i="7"/>
  <c r="AC35" i="7"/>
  <c r="W35" i="7"/>
  <c r="X35" i="7" s="1"/>
  <c r="Q35" i="7"/>
  <c r="R35" i="7" s="1"/>
  <c r="O35" i="7"/>
  <c r="L35" i="7"/>
  <c r="K35" i="7"/>
  <c r="AL130" i="7" s="1"/>
  <c r="AP131" i="7" s="1"/>
  <c r="AO131" i="7" s="1"/>
  <c r="H35" i="7"/>
  <c r="AI34" i="7"/>
  <c r="AH34" i="7"/>
  <c r="AG34" i="7"/>
  <c r="AF34" i="7"/>
  <c r="AE34" i="7"/>
  <c r="AD34" i="7"/>
  <c r="AC34" i="7"/>
  <c r="W34" i="7"/>
  <c r="X34" i="7" s="1"/>
  <c r="Q34" i="7"/>
  <c r="R34" i="7" s="1"/>
  <c r="O34" i="7"/>
  <c r="AI33" i="7"/>
  <c r="AH33" i="7"/>
  <c r="AG33" i="7"/>
  <c r="AF33" i="7"/>
  <c r="AE33" i="7"/>
  <c r="AD33" i="7"/>
  <c r="AC33" i="7"/>
  <c r="W33" i="7"/>
  <c r="X33" i="7" s="1"/>
  <c r="Q33" i="7"/>
  <c r="R33" i="7" s="1"/>
  <c r="O33" i="7"/>
  <c r="I33" i="7"/>
  <c r="AI32" i="7"/>
  <c r="AH32" i="7"/>
  <c r="AG32" i="7"/>
  <c r="AF32" i="7"/>
  <c r="AE32" i="7"/>
  <c r="AD32" i="7"/>
  <c r="AC32" i="7"/>
  <c r="W32" i="7"/>
  <c r="X32" i="7" s="1"/>
  <c r="Q32" i="7"/>
  <c r="R32" i="7" s="1"/>
  <c r="O32" i="7"/>
  <c r="L32" i="7"/>
  <c r="K32" i="7"/>
  <c r="AL127" i="7" s="1"/>
  <c r="AP128" i="7" s="1"/>
  <c r="AO128" i="7" s="1"/>
  <c r="H32" i="7"/>
  <c r="AI31" i="7"/>
  <c r="AH31" i="7"/>
  <c r="AG31" i="7"/>
  <c r="AF31" i="7"/>
  <c r="AE31" i="7"/>
  <c r="AD31" i="7"/>
  <c r="AC31" i="7"/>
  <c r="W31" i="7"/>
  <c r="X31" i="7" s="1"/>
  <c r="Q31" i="7"/>
  <c r="R31" i="7" s="1"/>
  <c r="O31" i="7"/>
  <c r="AI30" i="7"/>
  <c r="AH30" i="7"/>
  <c r="AG30" i="7"/>
  <c r="AF30" i="7"/>
  <c r="AE30" i="7"/>
  <c r="AD30" i="7"/>
  <c r="AC30" i="7"/>
  <c r="W30" i="7"/>
  <c r="X30" i="7" s="1"/>
  <c r="Q30" i="7"/>
  <c r="R30" i="7" s="1"/>
  <c r="O30" i="7"/>
  <c r="I30" i="7"/>
  <c r="AI29" i="7"/>
  <c r="AH29" i="7"/>
  <c r="AG29" i="7"/>
  <c r="AF29" i="7"/>
  <c r="AE29" i="7"/>
  <c r="AD29" i="7"/>
  <c r="AC29" i="7"/>
  <c r="W29" i="7"/>
  <c r="X29" i="7" s="1"/>
  <c r="Q29" i="7"/>
  <c r="R29" i="7" s="1"/>
  <c r="O29" i="7"/>
  <c r="L29" i="7"/>
  <c r="K29" i="7"/>
  <c r="AL124" i="7" s="1"/>
  <c r="AP125" i="7" s="1"/>
  <c r="AO125" i="7" s="1"/>
  <c r="H29" i="7"/>
  <c r="AI28" i="7"/>
  <c r="AH28" i="7"/>
  <c r="AG28" i="7"/>
  <c r="AF28" i="7"/>
  <c r="AE28" i="7"/>
  <c r="AD28" i="7"/>
  <c r="AC28" i="7"/>
  <c r="W28" i="7"/>
  <c r="X28" i="7" s="1"/>
  <c r="Q28" i="7"/>
  <c r="R28" i="7" s="1"/>
  <c r="O28" i="7"/>
  <c r="AI27" i="7"/>
  <c r="AH27" i="7"/>
  <c r="AG27" i="7"/>
  <c r="AF27" i="7"/>
  <c r="AE27" i="7"/>
  <c r="AD27" i="7"/>
  <c r="AC27" i="7"/>
  <c r="W27" i="7"/>
  <c r="X27" i="7" s="1"/>
  <c r="Q27" i="7"/>
  <c r="R27" i="7" s="1"/>
  <c r="O27" i="7"/>
  <c r="I27" i="7"/>
  <c r="AI26" i="7"/>
  <c r="AH26" i="7"/>
  <c r="AG26" i="7"/>
  <c r="AF26" i="7"/>
  <c r="AE26" i="7"/>
  <c r="AD26" i="7"/>
  <c r="AC26" i="7"/>
  <c r="W26" i="7"/>
  <c r="X26" i="7" s="1"/>
  <c r="Q26" i="7"/>
  <c r="R26" i="7" s="1"/>
  <c r="O26" i="7"/>
  <c r="L26" i="7"/>
  <c r="K26" i="7"/>
  <c r="AL121" i="7" s="1"/>
  <c r="AP122" i="7" s="1"/>
  <c r="AO122" i="7" s="1"/>
  <c r="H26" i="7"/>
  <c r="AI25" i="7"/>
  <c r="AH25" i="7"/>
  <c r="AG25" i="7"/>
  <c r="AF25" i="7"/>
  <c r="AE25" i="7"/>
  <c r="AD25" i="7"/>
  <c r="AC25" i="7"/>
  <c r="W25" i="7"/>
  <c r="X25" i="7" s="1"/>
  <c r="Q25" i="7"/>
  <c r="R25" i="7" s="1"/>
  <c r="O25" i="7"/>
  <c r="AI24" i="7"/>
  <c r="AH24" i="7"/>
  <c r="AG24" i="7"/>
  <c r="AF24" i="7"/>
  <c r="W24" i="7" s="1"/>
  <c r="X24" i="7" s="1"/>
  <c r="AE24" i="7"/>
  <c r="AD24" i="7"/>
  <c r="AC24" i="7"/>
  <c r="Q24" i="7"/>
  <c r="R24" i="7" s="1"/>
  <c r="O24" i="7"/>
  <c r="I24" i="7"/>
  <c r="AI23" i="7"/>
  <c r="AH23" i="7"/>
  <c r="AG23" i="7"/>
  <c r="AF23" i="7"/>
  <c r="W23" i="7" s="1"/>
  <c r="X23" i="7" s="1"/>
  <c r="AE23" i="7"/>
  <c r="AD23" i="7"/>
  <c r="AC23" i="7"/>
  <c r="Q23" i="7"/>
  <c r="R23" i="7" s="1"/>
  <c r="O23" i="7"/>
  <c r="H23" i="7"/>
  <c r="AI22" i="7"/>
  <c r="AH22" i="7"/>
  <c r="AG22" i="7"/>
  <c r="AF22" i="7"/>
  <c r="W22" i="7" s="1"/>
  <c r="X22" i="7" s="1"/>
  <c r="AE22" i="7"/>
  <c r="AD22" i="7"/>
  <c r="AC22" i="7"/>
  <c r="Q22" i="7"/>
  <c r="R22" i="7" s="1"/>
  <c r="O22" i="7"/>
  <c r="AI21" i="7"/>
  <c r="AH21" i="7"/>
  <c r="AG21" i="7"/>
  <c r="AF21" i="7"/>
  <c r="AE21" i="7"/>
  <c r="AD21" i="7"/>
  <c r="AC21" i="7"/>
  <c r="W21" i="7"/>
  <c r="X21" i="7" s="1"/>
  <c r="Q21" i="7"/>
  <c r="R21" i="7" s="1"/>
  <c r="O21" i="7"/>
  <c r="I21" i="7"/>
  <c r="AI20" i="7"/>
  <c r="AH20" i="7"/>
  <c r="AG20" i="7"/>
  <c r="AF20" i="7"/>
  <c r="AE20" i="7"/>
  <c r="AD20" i="7"/>
  <c r="AC20" i="7"/>
  <c r="W20" i="7"/>
  <c r="X20" i="7" s="1"/>
  <c r="Q20" i="7"/>
  <c r="R20" i="7" s="1"/>
  <c r="O20" i="7"/>
  <c r="H20" i="7"/>
  <c r="AI19" i="7"/>
  <c r="AH19" i="7"/>
  <c r="AG19" i="7"/>
  <c r="AF19" i="7"/>
  <c r="W19" i="7" s="1"/>
  <c r="X19" i="7" s="1"/>
  <c r="AE19" i="7"/>
  <c r="AD19" i="7"/>
  <c r="AC19" i="7"/>
  <c r="Q19" i="7"/>
  <c r="R19" i="7" s="1"/>
  <c r="O19" i="7"/>
  <c r="AI18" i="7"/>
  <c r="AH18" i="7"/>
  <c r="AG18" i="7"/>
  <c r="AF18" i="7"/>
  <c r="AE18" i="7"/>
  <c r="AD18" i="7"/>
  <c r="AC18" i="7"/>
  <c r="W18" i="7"/>
  <c r="X18" i="7" s="1"/>
  <c r="Q18" i="7"/>
  <c r="R18" i="7" s="1"/>
  <c r="O18" i="7"/>
  <c r="I18" i="7"/>
  <c r="L17" i="7" s="1"/>
  <c r="AI17" i="7"/>
  <c r="AH17" i="7"/>
  <c r="AG17" i="7"/>
  <c r="AF17" i="7"/>
  <c r="W17" i="7" s="1"/>
  <c r="X17" i="7" s="1"/>
  <c r="AE17" i="7"/>
  <c r="AD17" i="7"/>
  <c r="AC17" i="7"/>
  <c r="Q17" i="7"/>
  <c r="R17" i="7" s="1"/>
  <c r="O17" i="7"/>
  <c r="H17" i="7"/>
  <c r="AI16" i="7"/>
  <c r="AH16" i="7"/>
  <c r="AG16" i="7"/>
  <c r="AF16" i="7"/>
  <c r="W16" i="7" s="1"/>
  <c r="X16" i="7" s="1"/>
  <c r="AE16" i="7"/>
  <c r="AD16" i="7"/>
  <c r="AC16" i="7"/>
  <c r="Q16" i="7"/>
  <c r="R16" i="7" s="1"/>
  <c r="O16" i="7"/>
  <c r="AI15" i="7"/>
  <c r="AH15" i="7"/>
  <c r="AG15" i="7"/>
  <c r="AF15" i="7"/>
  <c r="AE15" i="7"/>
  <c r="AD15" i="7"/>
  <c r="AC15" i="7"/>
  <c r="W15" i="7"/>
  <c r="X15" i="7" s="1"/>
  <c r="Q15" i="7"/>
  <c r="R15" i="7" s="1"/>
  <c r="O15" i="7"/>
  <c r="I15" i="7"/>
  <c r="L14" i="7" s="1"/>
  <c r="AI14" i="7"/>
  <c r="AH14" i="7"/>
  <c r="AG14" i="7"/>
  <c r="AF14" i="7"/>
  <c r="AE14" i="7"/>
  <c r="AD14" i="7"/>
  <c r="AC14" i="7"/>
  <c r="W14" i="7"/>
  <c r="X14" i="7" s="1"/>
  <c r="Q14" i="7"/>
  <c r="R14" i="7" s="1"/>
  <c r="O14" i="7"/>
  <c r="H14" i="7"/>
  <c r="AI13" i="7"/>
  <c r="AH13" i="7"/>
  <c r="AG13" i="7"/>
  <c r="AF13" i="7"/>
  <c r="W13" i="7" s="1"/>
  <c r="X13" i="7" s="1"/>
  <c r="AE13" i="7"/>
  <c r="AD13" i="7"/>
  <c r="AC13" i="7"/>
  <c r="Q13" i="7"/>
  <c r="R13" i="7" s="1"/>
  <c r="O13" i="7"/>
  <c r="AI12" i="7"/>
  <c r="AH12" i="7"/>
  <c r="AG12" i="7"/>
  <c r="AF12" i="7"/>
  <c r="AE12" i="7"/>
  <c r="AD12" i="7"/>
  <c r="AC12" i="7"/>
  <c r="W12" i="7"/>
  <c r="X12" i="7" s="1"/>
  <c r="Q12" i="7"/>
  <c r="R12" i="7" s="1"/>
  <c r="O12" i="7"/>
  <c r="I12" i="7"/>
  <c r="L11" i="7" s="1"/>
  <c r="AI11" i="7"/>
  <c r="AH11" i="7"/>
  <c r="AG11" i="7"/>
  <c r="AF11" i="7"/>
  <c r="AE11" i="7"/>
  <c r="AD11" i="7"/>
  <c r="AC11" i="7"/>
  <c r="W11" i="7"/>
  <c r="X11" i="7" s="1"/>
  <c r="Q11" i="7"/>
  <c r="R11" i="7" s="1"/>
  <c r="O11" i="7"/>
  <c r="H11" i="7"/>
  <c r="AI10" i="7"/>
  <c r="AH10" i="7"/>
  <c r="AG10" i="7"/>
  <c r="AF10" i="7"/>
  <c r="W10" i="7" s="1"/>
  <c r="X10" i="7" s="1"/>
  <c r="AE10" i="7"/>
  <c r="AD10" i="7"/>
  <c r="AC10" i="7"/>
  <c r="Q10" i="7"/>
  <c r="R10" i="7" s="1"/>
  <c r="O10" i="7"/>
  <c r="T3" i="7"/>
  <c r="I3" i="1"/>
  <c r="I3" i="4" s="1"/>
  <c r="O18" i="5"/>
  <c r="O14" i="5"/>
  <c r="O13" i="5"/>
  <c r="O12" i="5"/>
  <c r="O11" i="5"/>
  <c r="J18" i="5"/>
  <c r="J15" i="5"/>
  <c r="J14" i="5"/>
  <c r="J13" i="5"/>
  <c r="J12" i="5"/>
  <c r="J11" i="5"/>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1" i="1"/>
  <c r="AC12" i="1"/>
  <c r="AC10" i="1"/>
  <c r="I42" i="1"/>
  <c r="L41" i="1" s="1"/>
  <c r="I39" i="1"/>
  <c r="I36" i="1"/>
  <c r="I33" i="1"/>
  <c r="I30" i="1"/>
  <c r="I27" i="1"/>
  <c r="I24" i="1"/>
  <c r="Q42" i="1"/>
  <c r="R42" i="1" s="1"/>
  <c r="Q41" i="1"/>
  <c r="R41" i="1" s="1"/>
  <c r="Q40" i="1"/>
  <c r="R40" i="1" s="1"/>
  <c r="Q39" i="1"/>
  <c r="R39" i="1" s="1"/>
  <c r="Q38" i="1"/>
  <c r="R38" i="1" s="1"/>
  <c r="Q37" i="1"/>
  <c r="R37" i="1" s="1"/>
  <c r="Q36" i="1"/>
  <c r="R36" i="1" s="1"/>
  <c r="Q35" i="1"/>
  <c r="R35" i="1" s="1"/>
  <c r="Q34" i="1"/>
  <c r="R34" i="1" s="1"/>
  <c r="Q33" i="1"/>
  <c r="R33" i="1" s="1"/>
  <c r="Q32" i="1"/>
  <c r="R32" i="1" s="1"/>
  <c r="Q31" i="1"/>
  <c r="R31" i="1" s="1"/>
  <c r="Q30" i="1"/>
  <c r="R30" i="1" s="1"/>
  <c r="Q29" i="1"/>
  <c r="R29" i="1" s="1"/>
  <c r="Q28" i="1"/>
  <c r="R28" i="1" s="1"/>
  <c r="Q27" i="1"/>
  <c r="R27" i="1" s="1"/>
  <c r="Q26" i="1"/>
  <c r="R26" i="1" s="1"/>
  <c r="Q25" i="1"/>
  <c r="R25" i="1" s="1"/>
  <c r="Q24" i="1"/>
  <c r="R24" i="1" s="1"/>
  <c r="Q23" i="1"/>
  <c r="R23" i="1" s="1"/>
  <c r="Q22" i="1"/>
  <c r="R22" i="1" s="1"/>
  <c r="AI12" i="1"/>
  <c r="AI42" i="1"/>
  <c r="AI41" i="1"/>
  <c r="AI40" i="1"/>
  <c r="AI39" i="1"/>
  <c r="AI38" i="1"/>
  <c r="AI37" i="1"/>
  <c r="AI36" i="1"/>
  <c r="AI35" i="1"/>
  <c r="AI34" i="1"/>
  <c r="AI33" i="1"/>
  <c r="AI32" i="1"/>
  <c r="AI31" i="1"/>
  <c r="AI30" i="1"/>
  <c r="AI29" i="1"/>
  <c r="AI28" i="1"/>
  <c r="AI27" i="1"/>
  <c r="AI26" i="1"/>
  <c r="AI25" i="1"/>
  <c r="AI24" i="1"/>
  <c r="AI23" i="1"/>
  <c r="AI22" i="1"/>
  <c r="AI21" i="1"/>
  <c r="AI20" i="1"/>
  <c r="AI19" i="1"/>
  <c r="AI18" i="1"/>
  <c r="AI17" i="1"/>
  <c r="AI16" i="1"/>
  <c r="AI15" i="1"/>
  <c r="AI14" i="1"/>
  <c r="AI13" i="1"/>
  <c r="AI11" i="1"/>
  <c r="AI10" i="1"/>
  <c r="AH16" i="1"/>
  <c r="AH15" i="1"/>
  <c r="AH14" i="1"/>
  <c r="AH1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2" i="1"/>
  <c r="AH11" i="1"/>
  <c r="AH10"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F42" i="1"/>
  <c r="AE42" i="1"/>
  <c r="AD42" i="1"/>
  <c r="AF41" i="1"/>
  <c r="AE41" i="1"/>
  <c r="AD41" i="1"/>
  <c r="AF40" i="1"/>
  <c r="AE40" i="1"/>
  <c r="AD40" i="1"/>
  <c r="AF39" i="1"/>
  <c r="AE39" i="1"/>
  <c r="AD39" i="1"/>
  <c r="AF38" i="1"/>
  <c r="AE38" i="1"/>
  <c r="AD38" i="1"/>
  <c r="AF37" i="1"/>
  <c r="AE37" i="1"/>
  <c r="AD37" i="1"/>
  <c r="AF36" i="1"/>
  <c r="AE36" i="1"/>
  <c r="AD36" i="1"/>
  <c r="AF35" i="1"/>
  <c r="AE35" i="1"/>
  <c r="AD35" i="1"/>
  <c r="AF34" i="1"/>
  <c r="AE34" i="1"/>
  <c r="AD34" i="1"/>
  <c r="AF33" i="1"/>
  <c r="AE33" i="1"/>
  <c r="AD33" i="1"/>
  <c r="AF32" i="1"/>
  <c r="AE32" i="1"/>
  <c r="AD32" i="1"/>
  <c r="AF31" i="1"/>
  <c r="AE31" i="1"/>
  <c r="AD31" i="1"/>
  <c r="AF30" i="1"/>
  <c r="AE30" i="1"/>
  <c r="AD30" i="1"/>
  <c r="AF29" i="1"/>
  <c r="AE29" i="1"/>
  <c r="AD29" i="1"/>
  <c r="AF28" i="1"/>
  <c r="AE28" i="1"/>
  <c r="AD28" i="1"/>
  <c r="AF27" i="1"/>
  <c r="AE27" i="1"/>
  <c r="AD27" i="1"/>
  <c r="AF26" i="1"/>
  <c r="AE26" i="1"/>
  <c r="AD26" i="1"/>
  <c r="AF25" i="1"/>
  <c r="AE25" i="1"/>
  <c r="AD25" i="1"/>
  <c r="AF24" i="1"/>
  <c r="AE24" i="1"/>
  <c r="AD24" i="1"/>
  <c r="AF23" i="1"/>
  <c r="AE23" i="1"/>
  <c r="AD23" i="1"/>
  <c r="AF22" i="1"/>
  <c r="AE22" i="1"/>
  <c r="AD22" i="1"/>
  <c r="AF21" i="1"/>
  <c r="AE21" i="1"/>
  <c r="AD21" i="1"/>
  <c r="AF20" i="1"/>
  <c r="AE20" i="1"/>
  <c r="AD20" i="1"/>
  <c r="AF19" i="1"/>
  <c r="AE19" i="1"/>
  <c r="AD19" i="1"/>
  <c r="AF18" i="1"/>
  <c r="AE18" i="1"/>
  <c r="AD18" i="1"/>
  <c r="AF17" i="1"/>
  <c r="AE17" i="1"/>
  <c r="AD17" i="1"/>
  <c r="AF16" i="1"/>
  <c r="AE16" i="1"/>
  <c r="AD16" i="1"/>
  <c r="AF15" i="1"/>
  <c r="AE15" i="1"/>
  <c r="AD15" i="1"/>
  <c r="AF14" i="1"/>
  <c r="AE14" i="1"/>
  <c r="AD14" i="1"/>
  <c r="AF13" i="1"/>
  <c r="AE13" i="1"/>
  <c r="AD13" i="1"/>
  <c r="AF12" i="1"/>
  <c r="AE12" i="1"/>
  <c r="AD12" i="1"/>
  <c r="AF11" i="1"/>
  <c r="AE11" i="1"/>
  <c r="AD11" i="1"/>
  <c r="AF10" i="1"/>
  <c r="AE10" i="1"/>
  <c r="AD10" i="1"/>
  <c r="F54" i="3"/>
  <c r="F55" i="3" s="1"/>
  <c r="P16" i="3" s="1"/>
  <c r="F54" i="4"/>
  <c r="F55" i="4" s="1"/>
  <c r="V27" i="4" s="1"/>
  <c r="F54" i="2"/>
  <c r="F55" i="2" s="1"/>
  <c r="K14" i="1"/>
  <c r="I47" i="4"/>
  <c r="I5" i="4"/>
  <c r="K53" i="4"/>
  <c r="L47" i="4"/>
  <c r="T3" i="4"/>
  <c r="I48" i="3"/>
  <c r="K53" i="3"/>
  <c r="L47" i="3"/>
  <c r="T3" i="3"/>
  <c r="K53" i="2"/>
  <c r="L47" i="2"/>
  <c r="T3" i="2"/>
  <c r="K53" i="1"/>
  <c r="T3" i="1"/>
  <c r="O10" i="1"/>
  <c r="H11" i="1"/>
  <c r="O11" i="1"/>
  <c r="O12" i="1"/>
  <c r="O13" i="1"/>
  <c r="H14" i="1"/>
  <c r="O14" i="1"/>
  <c r="O15" i="1"/>
  <c r="O16" i="1"/>
  <c r="H17" i="1"/>
  <c r="O17" i="1"/>
  <c r="O18" i="1"/>
  <c r="O19" i="1"/>
  <c r="H20" i="1"/>
  <c r="O20" i="1"/>
  <c r="O21" i="1"/>
  <c r="O22" i="1"/>
  <c r="H23" i="1"/>
  <c r="O23" i="1"/>
  <c r="O24" i="1"/>
  <c r="O25" i="1"/>
  <c r="H26" i="1"/>
  <c r="O26" i="1"/>
  <c r="O27" i="1"/>
  <c r="O28" i="1"/>
  <c r="H29" i="1"/>
  <c r="O29" i="1"/>
  <c r="O30" i="1"/>
  <c r="O31" i="1"/>
  <c r="H32" i="1"/>
  <c r="O32" i="1"/>
  <c r="O33" i="1"/>
  <c r="O34" i="1"/>
  <c r="H35" i="1"/>
  <c r="O35" i="1"/>
  <c r="O36" i="1"/>
  <c r="O37" i="1"/>
  <c r="H38" i="1"/>
  <c r="O38" i="1"/>
  <c r="O39" i="1"/>
  <c r="O40" i="1"/>
  <c r="H41" i="1"/>
  <c r="O41" i="1"/>
  <c r="O42" i="1"/>
  <c r="L47" i="1"/>
  <c r="K23" i="1"/>
  <c r="AL119" i="1" s="1"/>
  <c r="K26" i="1"/>
  <c r="AL122" i="1" s="1"/>
  <c r="L23" i="1"/>
  <c r="K29" i="1"/>
  <c r="AL125" i="1" s="1"/>
  <c r="L26" i="1"/>
  <c r="K32" i="1"/>
  <c r="AL128" i="1" s="1"/>
  <c r="L29" i="1"/>
  <c r="K35" i="1"/>
  <c r="AL131" i="1" s="1"/>
  <c r="L32" i="1"/>
  <c r="K38" i="1"/>
  <c r="AL134" i="1" s="1"/>
  <c r="L35" i="1"/>
  <c r="L38" i="1"/>
  <c r="N11" i="7" l="1"/>
  <c r="Z13" i="1"/>
  <c r="AL110" i="1"/>
  <c r="AN112" i="1" s="1"/>
  <c r="AR115" i="7"/>
  <c r="AR134" i="7"/>
  <c r="AN115" i="7"/>
  <c r="AN116" i="7"/>
  <c r="AN127" i="7"/>
  <c r="AR123" i="7"/>
  <c r="AR127" i="7"/>
  <c r="AQ135" i="7"/>
  <c r="AP127" i="7"/>
  <c r="AO127" i="7" s="1"/>
  <c r="AR133" i="7"/>
  <c r="AR121" i="7"/>
  <c r="AN128" i="7"/>
  <c r="AR135" i="7"/>
  <c r="AN117" i="7"/>
  <c r="AQ127" i="7"/>
  <c r="AR122" i="7"/>
  <c r="AN133" i="7"/>
  <c r="AN121" i="7"/>
  <c r="AQ123" i="7"/>
  <c r="AN129" i="7"/>
  <c r="AP115" i="7"/>
  <c r="AO115" i="7" s="1"/>
  <c r="AN124" i="7"/>
  <c r="AN131" i="7"/>
  <c r="AQ126" i="7"/>
  <c r="AN132" i="7"/>
  <c r="AQ130" i="7"/>
  <c r="AR130" i="7"/>
  <c r="AR124" i="7"/>
  <c r="AR132" i="7"/>
  <c r="AP124" i="7"/>
  <c r="AO124" i="7" s="1"/>
  <c r="AQ133" i="7"/>
  <c r="AQ121" i="7"/>
  <c r="AQ134" i="7"/>
  <c r="AQ131" i="7"/>
  <c r="AQ128" i="7"/>
  <c r="AQ125" i="7"/>
  <c r="AQ122" i="7"/>
  <c r="AQ116" i="7"/>
  <c r="AQ132" i="7"/>
  <c r="AR128" i="7"/>
  <c r="AN125" i="7"/>
  <c r="AR116" i="7"/>
  <c r="AP133" i="7"/>
  <c r="AO133" i="7" s="1"/>
  <c r="AR129" i="7"/>
  <c r="AN126" i="7"/>
  <c r="AP121" i="7"/>
  <c r="AO121" i="7" s="1"/>
  <c r="AR117" i="7"/>
  <c r="AP116" i="7"/>
  <c r="AO116" i="7" s="1"/>
  <c r="AN130" i="7"/>
  <c r="AR131" i="7"/>
  <c r="AQ124" i="7"/>
  <c r="AP135" i="7"/>
  <c r="AO135" i="7" s="1"/>
  <c r="AP132" i="7"/>
  <c r="AO132" i="7" s="1"/>
  <c r="AP129" i="7"/>
  <c r="AO129" i="7" s="1"/>
  <c r="AP126" i="7"/>
  <c r="AO126" i="7" s="1"/>
  <c r="AP123" i="7"/>
  <c r="AO123" i="7" s="1"/>
  <c r="AP117" i="7"/>
  <c r="AO117" i="7" s="1"/>
  <c r="AN134" i="7"/>
  <c r="AQ129" i="7"/>
  <c r="AR125" i="7"/>
  <c r="AN122" i="7"/>
  <c r="AQ117" i="7"/>
  <c r="AN135" i="7"/>
  <c r="AP130" i="7"/>
  <c r="AO130" i="7" s="1"/>
  <c r="AR126" i="7"/>
  <c r="AN123" i="7"/>
  <c r="AR132" i="1"/>
  <c r="AN131" i="1"/>
  <c r="AN132" i="1"/>
  <c r="AN133" i="1"/>
  <c r="AR119" i="1"/>
  <c r="AR126" i="1"/>
  <c r="AN127" i="1"/>
  <c r="AN126" i="1"/>
  <c r="AN125" i="1"/>
  <c r="AP136" i="1"/>
  <c r="AO136" i="1" s="1"/>
  <c r="AN135" i="1"/>
  <c r="AN136" i="1"/>
  <c r="AN134" i="1"/>
  <c r="AR128" i="1"/>
  <c r="AN128" i="1"/>
  <c r="AN130" i="1"/>
  <c r="AN129" i="1"/>
  <c r="AP124" i="1"/>
  <c r="AO124" i="1" s="1"/>
  <c r="AN123" i="1"/>
  <c r="AN124" i="1"/>
  <c r="AN122" i="1"/>
  <c r="AR138" i="1"/>
  <c r="AN139" i="1"/>
  <c r="AN138" i="1"/>
  <c r="AN137" i="1"/>
  <c r="S86" i="7"/>
  <c r="T86" i="7" s="1"/>
  <c r="T107" i="7" s="1"/>
  <c r="X86" i="7"/>
  <c r="X87" i="7"/>
  <c r="X84" i="1"/>
  <c r="X83" i="1"/>
  <c r="N107" i="1"/>
  <c r="W32" i="1"/>
  <c r="X32" i="1" s="1"/>
  <c r="N14" i="7"/>
  <c r="AQ131" i="1"/>
  <c r="AP126" i="1"/>
  <c r="AO126" i="1" s="1"/>
  <c r="AP122" i="1"/>
  <c r="AO122" i="1" s="1"/>
  <c r="AP133" i="1"/>
  <c r="AO133" i="1" s="1"/>
  <c r="N35" i="1"/>
  <c r="N29" i="1"/>
  <c r="N23" i="1"/>
  <c r="AP131" i="1"/>
  <c r="AO131" i="1" s="1"/>
  <c r="AQ122" i="1"/>
  <c r="AP132" i="1"/>
  <c r="AO132" i="1" s="1"/>
  <c r="AR133" i="1"/>
  <c r="N32" i="1"/>
  <c r="N26" i="1"/>
  <c r="N41" i="1"/>
  <c r="N38" i="1"/>
  <c r="AQ125" i="1"/>
  <c r="AQ126" i="1"/>
  <c r="AP127" i="1"/>
  <c r="AO127" i="1" s="1"/>
  <c r="N35" i="7"/>
  <c r="N41" i="7"/>
  <c r="N26" i="7"/>
  <c r="N32" i="7"/>
  <c r="N38" i="7"/>
  <c r="W21" i="1"/>
  <c r="X21" i="1" s="1"/>
  <c r="Q21" i="1"/>
  <c r="R21" i="1" s="1"/>
  <c r="AR135" i="1"/>
  <c r="AQ136" i="1"/>
  <c r="AR136" i="1"/>
  <c r="AP134" i="1"/>
  <c r="AO134" i="1" s="1"/>
  <c r="AQ134" i="1"/>
  <c r="AQ135" i="1"/>
  <c r="AQ129" i="1"/>
  <c r="AR129" i="1"/>
  <c r="AQ130" i="1"/>
  <c r="AR130" i="1"/>
  <c r="AP128" i="1"/>
  <c r="AO128" i="1" s="1"/>
  <c r="AQ128" i="1"/>
  <c r="AR123" i="1"/>
  <c r="AQ123" i="1"/>
  <c r="AQ119" i="1"/>
  <c r="AQ138" i="1"/>
  <c r="AP139" i="1"/>
  <c r="AO139" i="1" s="1"/>
  <c r="AP135" i="1"/>
  <c r="AO135" i="1" s="1"/>
  <c r="AP123" i="1"/>
  <c r="AO123" i="1" s="1"/>
  <c r="AQ133" i="1"/>
  <c r="AR139" i="1"/>
  <c r="AR134" i="1"/>
  <c r="AP130" i="1"/>
  <c r="AO130" i="1" s="1"/>
  <c r="AP125" i="1"/>
  <c r="AO125" i="1" s="1"/>
  <c r="AR131" i="1"/>
  <c r="AQ127" i="1"/>
  <c r="AR124" i="1"/>
  <c r="AQ137" i="1"/>
  <c r="AP138" i="1"/>
  <c r="AO138" i="1" s="1"/>
  <c r="AP121" i="1"/>
  <c r="AO121" i="1" s="1"/>
  <c r="AQ139" i="1"/>
  <c r="AP129" i="1"/>
  <c r="AO129" i="1" s="1"/>
  <c r="AP137" i="1"/>
  <c r="AO137" i="1" s="1"/>
  <c r="AQ132" i="1"/>
  <c r="AR127" i="1"/>
  <c r="AR122" i="1"/>
  <c r="AR137" i="1"/>
  <c r="AR125" i="1"/>
  <c r="AQ124" i="1"/>
  <c r="Q17" i="1"/>
  <c r="R17" i="1" s="1"/>
  <c r="W16" i="1"/>
  <c r="X16" i="1" s="1"/>
  <c r="W31" i="1"/>
  <c r="X31" i="1" s="1"/>
  <c r="Q20" i="1"/>
  <c r="R20" i="1" s="1"/>
  <c r="Q19" i="1"/>
  <c r="R19" i="1" s="1"/>
  <c r="AM10" i="2"/>
  <c r="X3" i="1"/>
  <c r="S26" i="7"/>
  <c r="T26" i="7" s="1"/>
  <c r="S38" i="7"/>
  <c r="T38" i="7" s="1"/>
  <c r="Y41" i="7"/>
  <c r="Z42" i="7" s="1"/>
  <c r="S35" i="7"/>
  <c r="T35" i="7" s="1"/>
  <c r="Y11" i="7"/>
  <c r="Z12" i="7" s="1"/>
  <c r="S11" i="7"/>
  <c r="T11" i="7" s="1"/>
  <c r="W22" i="1"/>
  <c r="X22" i="1" s="1"/>
  <c r="I18" i="1"/>
  <c r="Q16" i="1"/>
  <c r="R16" i="1" s="1"/>
  <c r="W24" i="1"/>
  <c r="X24" i="1" s="1"/>
  <c r="Q15" i="1"/>
  <c r="R15" i="1" s="1"/>
  <c r="W25" i="1"/>
  <c r="X25" i="1" s="1"/>
  <c r="W34" i="1"/>
  <c r="X34" i="1" s="1"/>
  <c r="W37" i="1"/>
  <c r="X37" i="1" s="1"/>
  <c r="W36" i="1"/>
  <c r="X36" i="1" s="1"/>
  <c r="I15" i="1"/>
  <c r="L14" i="1" s="1"/>
  <c r="W30" i="1"/>
  <c r="X30" i="1" s="1"/>
  <c r="W42" i="1"/>
  <c r="X42" i="1" s="1"/>
  <c r="Q18" i="1"/>
  <c r="R18" i="1" s="1"/>
  <c r="W15" i="1"/>
  <c r="X15" i="1" s="1"/>
  <c r="W26" i="1"/>
  <c r="X26" i="1" s="1"/>
  <c r="W38" i="1"/>
  <c r="X38" i="1" s="1"/>
  <c r="W19" i="1"/>
  <c r="X19" i="1" s="1"/>
  <c r="W20" i="1"/>
  <c r="X20" i="1" s="1"/>
  <c r="W18" i="1"/>
  <c r="X18" i="1" s="1"/>
  <c r="Q14" i="1"/>
  <c r="R14" i="1" s="1"/>
  <c r="W14" i="1"/>
  <c r="X14" i="1" s="1"/>
  <c r="W29" i="1"/>
  <c r="X29" i="1" s="1"/>
  <c r="W41" i="1"/>
  <c r="X41" i="1" s="1"/>
  <c r="W13" i="1"/>
  <c r="X13" i="1" s="1"/>
  <c r="W17" i="1"/>
  <c r="X17" i="1" s="1"/>
  <c r="Q10" i="1"/>
  <c r="R10" i="1" s="1"/>
  <c r="Q11" i="1"/>
  <c r="R11" i="1" s="1"/>
  <c r="I12" i="1"/>
  <c r="L11" i="1" s="1"/>
  <c r="N11" i="1" s="1"/>
  <c r="W11" i="1"/>
  <c r="X11" i="1" s="1"/>
  <c r="W12" i="1"/>
  <c r="X12" i="1" s="1"/>
  <c r="W10" i="1"/>
  <c r="X10" i="1" s="1"/>
  <c r="V10" i="3"/>
  <c r="K17" i="1"/>
  <c r="AL113" i="1" s="1"/>
  <c r="V35" i="3"/>
  <c r="S38" i="1"/>
  <c r="T38" i="1" s="1"/>
  <c r="S41" i="1"/>
  <c r="T41" i="1" s="1"/>
  <c r="S26" i="1"/>
  <c r="T26" i="1" s="1"/>
  <c r="S29" i="1"/>
  <c r="T29" i="1" s="1"/>
  <c r="V15" i="3"/>
  <c r="S35" i="1"/>
  <c r="T35" i="1" s="1"/>
  <c r="U20" i="3"/>
  <c r="I17" i="3"/>
  <c r="O16" i="3" s="1"/>
  <c r="P12" i="3"/>
  <c r="S23" i="1"/>
  <c r="T23" i="1" s="1"/>
  <c r="S32" i="1"/>
  <c r="T32" i="1" s="1"/>
  <c r="I3" i="2"/>
  <c r="U27" i="4"/>
  <c r="AC27" i="4" s="1"/>
  <c r="K11" i="4"/>
  <c r="V35" i="4"/>
  <c r="M11" i="4"/>
  <c r="H14" i="4"/>
  <c r="U18" i="4"/>
  <c r="AH18" i="4" s="1"/>
  <c r="V10" i="4"/>
  <c r="I26" i="4"/>
  <c r="Q26" i="4" s="1"/>
  <c r="U39" i="4"/>
  <c r="AD39" i="4" s="1"/>
  <c r="P24" i="4"/>
  <c r="P22" i="4"/>
  <c r="H41" i="4"/>
  <c r="V23" i="3"/>
  <c r="V19" i="3"/>
  <c r="P14" i="3"/>
  <c r="I40" i="3"/>
  <c r="V25" i="3"/>
  <c r="P10" i="3"/>
  <c r="V14" i="3"/>
  <c r="P33" i="4"/>
  <c r="V31" i="4"/>
  <c r="V32" i="4"/>
  <c r="V40" i="4"/>
  <c r="Y17" i="7"/>
  <c r="Z18" i="7" s="1"/>
  <c r="S14" i="7"/>
  <c r="T14" i="7" s="1"/>
  <c r="L20" i="7"/>
  <c r="K23" i="7"/>
  <c r="AL118" i="7" s="1"/>
  <c r="S23" i="7"/>
  <c r="V22" i="4"/>
  <c r="I40" i="4"/>
  <c r="V33" i="4"/>
  <c r="I14" i="4"/>
  <c r="O15" i="4" s="1"/>
  <c r="V12" i="4"/>
  <c r="U17" i="4"/>
  <c r="AF17" i="4" s="1"/>
  <c r="K38" i="4"/>
  <c r="P31" i="4"/>
  <c r="P11" i="4"/>
  <c r="U34" i="4"/>
  <c r="AH34" i="4" s="1"/>
  <c r="P10" i="4"/>
  <c r="P21" i="4"/>
  <c r="P28" i="4"/>
  <c r="M14" i="4"/>
  <c r="K32" i="4"/>
  <c r="L5" i="3"/>
  <c r="L5" i="7"/>
  <c r="L5" i="2"/>
  <c r="L5" i="4"/>
  <c r="AL11" i="3"/>
  <c r="I3" i="7"/>
  <c r="Y26" i="7"/>
  <c r="Z27" i="7" s="1"/>
  <c r="S41" i="7"/>
  <c r="T41" i="7" s="1"/>
  <c r="S20" i="7"/>
  <c r="Y29" i="7"/>
  <c r="Z30" i="7" s="1"/>
  <c r="Y14" i="7"/>
  <c r="Z15" i="7" s="1"/>
  <c r="S17" i="7"/>
  <c r="T17" i="7" s="1"/>
  <c r="Y20" i="7"/>
  <c r="Y23" i="7"/>
  <c r="S29" i="7"/>
  <c r="T29" i="7" s="1"/>
  <c r="S32" i="7"/>
  <c r="T32" i="7" s="1"/>
  <c r="Y32" i="7"/>
  <c r="Z33" i="7" s="1"/>
  <c r="Y35" i="7"/>
  <c r="Z36" i="7" s="1"/>
  <c r="Y38" i="7"/>
  <c r="Z39" i="7" s="1"/>
  <c r="N17" i="7"/>
  <c r="N29" i="7"/>
  <c r="I3" i="3"/>
  <c r="O20" i="5"/>
  <c r="O21" i="5" s="1"/>
  <c r="J20" i="5"/>
  <c r="J21" i="5" s="1"/>
  <c r="I34" i="3"/>
  <c r="U16" i="3"/>
  <c r="U26" i="3"/>
  <c r="M26" i="3"/>
  <c r="H14" i="3"/>
  <c r="V28" i="3"/>
  <c r="U33" i="3"/>
  <c r="P18" i="3"/>
  <c r="P42" i="3"/>
  <c r="U42" i="3"/>
  <c r="V12" i="3"/>
  <c r="P37" i="3"/>
  <c r="I34" i="4"/>
  <c r="U14" i="4"/>
  <c r="I22" i="4"/>
  <c r="V41" i="4"/>
  <c r="M35" i="4"/>
  <c r="P30" i="4"/>
  <c r="U30" i="4"/>
  <c r="P12" i="4"/>
  <c r="I11" i="4"/>
  <c r="V30" i="4"/>
  <c r="V25" i="4"/>
  <c r="U41" i="4"/>
  <c r="M29" i="4"/>
  <c r="P27" i="4"/>
  <c r="P26" i="4"/>
  <c r="U11" i="4"/>
  <c r="P34" i="4"/>
  <c r="K17" i="4"/>
  <c r="U28" i="4"/>
  <c r="V24" i="4"/>
  <c r="U35" i="4"/>
  <c r="U24" i="4"/>
  <c r="I28" i="4"/>
  <c r="P36" i="4"/>
  <c r="V34" i="4"/>
  <c r="I25" i="4"/>
  <c r="K41" i="4"/>
  <c r="M17" i="4"/>
  <c r="U26" i="4"/>
  <c r="F56" i="4"/>
  <c r="V15" i="4"/>
  <c r="I13" i="4"/>
  <c r="P38" i="4"/>
  <c r="U37" i="4"/>
  <c r="K29" i="4"/>
  <c r="V17" i="4"/>
  <c r="I19" i="4"/>
  <c r="V38" i="4"/>
  <c r="I29" i="4"/>
  <c r="K26" i="4"/>
  <c r="V37" i="4"/>
  <c r="V23" i="4"/>
  <c r="V20" i="4"/>
  <c r="V14" i="4"/>
  <c r="U31" i="4"/>
  <c r="I32" i="4"/>
  <c r="H32" i="4"/>
  <c r="V13" i="4"/>
  <c r="P32" i="4"/>
  <c r="P25" i="4"/>
  <c r="U25" i="4"/>
  <c r="V39" i="4"/>
  <c r="U22" i="4"/>
  <c r="H26" i="4"/>
  <c r="V18" i="4"/>
  <c r="P35" i="4"/>
  <c r="H11" i="4"/>
  <c r="U20" i="4"/>
  <c r="M41" i="4"/>
  <c r="P20" i="4"/>
  <c r="U16" i="4"/>
  <c r="P18" i="4"/>
  <c r="V16" i="4"/>
  <c r="I17" i="4"/>
  <c r="I38" i="4"/>
  <c r="H20" i="4"/>
  <c r="H38" i="4"/>
  <c r="P23" i="4"/>
  <c r="I20" i="4"/>
  <c r="V42" i="4"/>
  <c r="U12" i="4"/>
  <c r="I31" i="4"/>
  <c r="M20" i="4"/>
  <c r="U13" i="4"/>
  <c r="P39" i="4"/>
  <c r="U38" i="4"/>
  <c r="P37" i="4"/>
  <c r="U29" i="4"/>
  <c r="V26" i="4"/>
  <c r="P19" i="4"/>
  <c r="V11" i="4"/>
  <c r="H17" i="4"/>
  <c r="I41" i="4"/>
  <c r="U40" i="4"/>
  <c r="P29" i="4"/>
  <c r="M38" i="4"/>
  <c r="U19" i="4"/>
  <c r="V21" i="4"/>
  <c r="P42" i="4"/>
  <c r="U42" i="4"/>
  <c r="U10" i="4"/>
  <c r="P15" i="4"/>
  <c r="H23" i="4"/>
  <c r="I37" i="4"/>
  <c r="U23" i="4"/>
  <c r="V28" i="4"/>
  <c r="P17" i="4"/>
  <c r="H29" i="4"/>
  <c r="P40" i="4"/>
  <c r="M26" i="4"/>
  <c r="U15" i="4"/>
  <c r="U33" i="4"/>
  <c r="V19" i="4"/>
  <c r="U21" i="4"/>
  <c r="P16" i="4"/>
  <c r="P41" i="4"/>
  <c r="K14" i="4"/>
  <c r="I16" i="4"/>
  <c r="M32" i="4"/>
  <c r="K35" i="4"/>
  <c r="K20" i="4"/>
  <c r="V36" i="4"/>
  <c r="P14" i="4"/>
  <c r="I35" i="4"/>
  <c r="H35" i="4"/>
  <c r="M23" i="4"/>
  <c r="V29" i="4"/>
  <c r="I10" i="4"/>
  <c r="I23" i="4"/>
  <c r="U36" i="4"/>
  <c r="P13" i="4"/>
  <c r="K23" i="4"/>
  <c r="U32" i="4"/>
  <c r="U10" i="2"/>
  <c r="V10" i="2"/>
  <c r="F56" i="2"/>
  <c r="M32" i="2" s="1"/>
  <c r="H20" i="3"/>
  <c r="V30" i="3"/>
  <c r="P32" i="3"/>
  <c r="P27" i="3"/>
  <c r="V34" i="3"/>
  <c r="M35" i="3"/>
  <c r="V41" i="3"/>
  <c r="U36" i="3"/>
  <c r="I10" i="3"/>
  <c r="U15" i="3"/>
  <c r="I26" i="3"/>
  <c r="P39" i="3"/>
  <c r="P23" i="3"/>
  <c r="I22" i="3"/>
  <c r="V24" i="3"/>
  <c r="P41" i="3"/>
  <c r="P28" i="3"/>
  <c r="P15" i="3"/>
  <c r="I14" i="3"/>
  <c r="V32" i="3"/>
  <c r="V31" i="3"/>
  <c r="U35" i="3"/>
  <c r="U41" i="3"/>
  <c r="Z41" i="3" s="1"/>
  <c r="M38" i="3"/>
  <c r="V11" i="3"/>
  <c r="P13" i="3"/>
  <c r="H41" i="3"/>
  <c r="U21" i="3"/>
  <c r="I19" i="3"/>
  <c r="U18" i="3"/>
  <c r="I16" i="3"/>
  <c r="V29" i="3"/>
  <c r="V16" i="3"/>
  <c r="M14" i="3"/>
  <c r="P25" i="3"/>
  <c r="U13" i="3"/>
  <c r="I31" i="3"/>
  <c r="U32" i="3"/>
  <c r="P31" i="3"/>
  <c r="U24" i="3"/>
  <c r="I25" i="3"/>
  <c r="V21" i="3"/>
  <c r="U39" i="3"/>
  <c r="M41" i="3"/>
  <c r="I41" i="3"/>
  <c r="I11" i="3"/>
  <c r="V13" i="3"/>
  <c r="U31" i="3"/>
  <c r="P33" i="3"/>
  <c r="U19" i="3"/>
  <c r="V22" i="3"/>
  <c r="P24" i="3"/>
  <c r="V27" i="3"/>
  <c r="P29" i="3"/>
  <c r="H23" i="3"/>
  <c r="U37" i="3"/>
  <c r="M32" i="3"/>
  <c r="U34" i="3"/>
  <c r="M23" i="3"/>
  <c r="I29" i="3"/>
  <c r="V37" i="3"/>
  <c r="I13" i="3"/>
  <c r="P21" i="3"/>
  <c r="M11" i="3"/>
  <c r="H35" i="3"/>
  <c r="V42" i="3"/>
  <c r="U17" i="3"/>
  <c r="P17" i="3"/>
  <c r="H29" i="3"/>
  <c r="V40" i="3"/>
  <c r="H38" i="3"/>
  <c r="U38" i="3"/>
  <c r="U23" i="3"/>
  <c r="I32" i="3"/>
  <c r="V39" i="3"/>
  <c r="V26" i="3"/>
  <c r="U30" i="3"/>
  <c r="P34" i="3"/>
  <c r="M17" i="3"/>
  <c r="P20" i="3"/>
  <c r="V38" i="3"/>
  <c r="P40" i="3"/>
  <c r="I23" i="3"/>
  <c r="U12" i="3"/>
  <c r="I28" i="3"/>
  <c r="V20" i="3"/>
  <c r="P22" i="3"/>
  <c r="V17" i="3"/>
  <c r="P19" i="3"/>
  <c r="H32" i="3"/>
  <c r="U29" i="3"/>
  <c r="P30" i="3"/>
  <c r="I20" i="3"/>
  <c r="U10" i="3"/>
  <c r="M29" i="3"/>
  <c r="P36" i="3"/>
  <c r="H26" i="3"/>
  <c r="U11" i="3"/>
  <c r="P11" i="3"/>
  <c r="U22" i="3"/>
  <c r="P26" i="3"/>
  <c r="H17" i="3"/>
  <c r="U40" i="3"/>
  <c r="U27" i="3"/>
  <c r="U14" i="3"/>
  <c r="M20" i="3"/>
  <c r="F56" i="3"/>
  <c r="I35" i="3"/>
  <c r="V18" i="3"/>
  <c r="U25" i="3"/>
  <c r="I38" i="3"/>
  <c r="U28" i="3"/>
  <c r="Z28" i="3" s="1"/>
  <c r="I37" i="3"/>
  <c r="V36" i="3"/>
  <c r="P38" i="3"/>
  <c r="V33" i="3"/>
  <c r="P35" i="3"/>
  <c r="H11" i="3"/>
  <c r="Z10" i="3" l="1"/>
  <c r="Z11" i="3"/>
  <c r="AN111" i="1"/>
  <c r="AN110" i="1"/>
  <c r="Z21" i="7"/>
  <c r="AP119" i="7"/>
  <c r="AO119" i="7" s="1"/>
  <c r="AP118" i="7"/>
  <c r="AO118" i="7" s="1"/>
  <c r="AP120" i="7"/>
  <c r="AO120" i="7" s="1"/>
  <c r="AR119" i="7"/>
  <c r="AR118" i="7"/>
  <c r="AN119" i="7"/>
  <c r="AN118" i="7"/>
  <c r="AQ120" i="7"/>
  <c r="AQ119" i="7"/>
  <c r="AR120" i="7"/>
  <c r="AQ118" i="7"/>
  <c r="AN120" i="7"/>
  <c r="H11" i="2"/>
  <c r="H14" i="2" s="1"/>
  <c r="H17" i="2" s="1"/>
  <c r="H20" i="2" s="1"/>
  <c r="H23" i="2" s="1"/>
  <c r="H26" i="2" s="1"/>
  <c r="H29" i="2" s="1"/>
  <c r="H32" i="2" s="1"/>
  <c r="H35" i="2" s="1"/>
  <c r="H38" i="2" s="1"/>
  <c r="H41" i="2" s="1"/>
  <c r="AR120" i="1"/>
  <c r="AQ120" i="1"/>
  <c r="AQ121" i="1"/>
  <c r="AP120" i="1"/>
  <c r="AO120" i="1" s="1"/>
  <c r="AN120" i="1"/>
  <c r="AN119" i="1"/>
  <c r="AN121" i="1"/>
  <c r="AR121" i="1"/>
  <c r="AP119" i="1"/>
  <c r="AO119" i="1" s="1"/>
  <c r="AB14" i="7"/>
  <c r="Z35" i="3"/>
  <c r="Y38" i="1"/>
  <c r="Y86" i="7"/>
  <c r="Z87" i="7" s="1"/>
  <c r="Z14" i="3"/>
  <c r="O13" i="4"/>
  <c r="Y83" i="1"/>
  <c r="Z84" i="1" s="1"/>
  <c r="Z29" i="3"/>
  <c r="Z40" i="3"/>
  <c r="Z38" i="3"/>
  <c r="Z37" i="3"/>
  <c r="Z31" i="3"/>
  <c r="Y32" i="1"/>
  <c r="N20" i="7"/>
  <c r="AQ111" i="1"/>
  <c r="AR111" i="1"/>
  <c r="AR112" i="1"/>
  <c r="AP110" i="1"/>
  <c r="AO110" i="1" s="1"/>
  <c r="AQ110" i="1"/>
  <c r="AQ112" i="1"/>
  <c r="AR110" i="1"/>
  <c r="AP112" i="1"/>
  <c r="AO112" i="1" s="1"/>
  <c r="AP111" i="1"/>
  <c r="AO111" i="1" s="1"/>
  <c r="K20" i="1"/>
  <c r="AL116" i="1" s="1"/>
  <c r="N14" i="1"/>
  <c r="Z22" i="3"/>
  <c r="Z25" i="3"/>
  <c r="Z34" i="3"/>
  <c r="Z32" i="3"/>
  <c r="Z23" i="3"/>
  <c r="Z26" i="3"/>
  <c r="Z20" i="3"/>
  <c r="AC20" i="3"/>
  <c r="AD26" i="3"/>
  <c r="L23" i="7"/>
  <c r="Z24" i="7" s="1"/>
  <c r="AG18" i="4"/>
  <c r="S20" i="1"/>
  <c r="X3" i="2"/>
  <c r="X3" i="7"/>
  <c r="X3" i="4"/>
  <c r="X3" i="3"/>
  <c r="Y23" i="1"/>
  <c r="Z24" i="1" s="1"/>
  <c r="AF34" i="4"/>
  <c r="AB11" i="7"/>
  <c r="Y41" i="1"/>
  <c r="S17" i="1"/>
  <c r="S14" i="1"/>
  <c r="T14" i="1" s="1"/>
  <c r="Y26" i="1"/>
  <c r="Z27" i="1" s="1"/>
  <c r="Y35" i="1"/>
  <c r="Z36" i="1" s="1"/>
  <c r="Y20" i="1"/>
  <c r="Y14" i="1"/>
  <c r="Z15" i="1" s="1"/>
  <c r="Y29" i="1"/>
  <c r="Z30" i="1" s="1"/>
  <c r="Y17" i="1"/>
  <c r="S11" i="1"/>
  <c r="T11" i="1" s="1"/>
  <c r="Y11" i="1"/>
  <c r="Z12" i="1" s="1"/>
  <c r="O22" i="5"/>
  <c r="J22" i="5"/>
  <c r="L17" i="1"/>
  <c r="AI18" i="4"/>
  <c r="O17" i="3"/>
  <c r="AE27" i="4"/>
  <c r="AF18" i="4"/>
  <c r="O18" i="3"/>
  <c r="AF16" i="3"/>
  <c r="AE16" i="3"/>
  <c r="AD18" i="4"/>
  <c r="AG17" i="4"/>
  <c r="AF27" i="4"/>
  <c r="AD27" i="4"/>
  <c r="AG27" i="4"/>
  <c r="AI16" i="3"/>
  <c r="AH27" i="4"/>
  <c r="O26" i="4"/>
  <c r="AI27" i="4"/>
  <c r="O25" i="4"/>
  <c r="AI17" i="4"/>
  <c r="AF39" i="4"/>
  <c r="AC39" i="4"/>
  <c r="AH39" i="4"/>
  <c r="AC18" i="4"/>
  <c r="AE18" i="4"/>
  <c r="W39" i="4"/>
  <c r="X39" i="4" s="1"/>
  <c r="AH16" i="3"/>
  <c r="AG39" i="4"/>
  <c r="AE39" i="4"/>
  <c r="Q27" i="4"/>
  <c r="R27" i="4" s="1"/>
  <c r="L26" i="4"/>
  <c r="N26" i="4" s="1"/>
  <c r="O27" i="4"/>
  <c r="Q25" i="4"/>
  <c r="R25" i="4" s="1"/>
  <c r="R26" i="4"/>
  <c r="AG16" i="3"/>
  <c r="AI39" i="4"/>
  <c r="O14" i="4"/>
  <c r="W26" i="3"/>
  <c r="X26" i="3" s="1"/>
  <c r="W33" i="3"/>
  <c r="X33" i="3" s="1"/>
  <c r="AB41" i="7"/>
  <c r="T20" i="7"/>
  <c r="AC10" i="2"/>
  <c r="W34" i="4"/>
  <c r="X34" i="4" s="1"/>
  <c r="AI34" i="4"/>
  <c r="AC34" i="4"/>
  <c r="AG34" i="4"/>
  <c r="AE34" i="4"/>
  <c r="AD34" i="4"/>
  <c r="AC17" i="4"/>
  <c r="AH17" i="4"/>
  <c r="AD17" i="4"/>
  <c r="AE17" i="4"/>
  <c r="AB38" i="7"/>
  <c r="AB35" i="7"/>
  <c r="AB32" i="7"/>
  <c r="AB26" i="7"/>
  <c r="AB29" i="7"/>
  <c r="AB17" i="7"/>
  <c r="V26" i="2"/>
  <c r="AD20" i="3"/>
  <c r="AH20" i="3"/>
  <c r="AI20" i="3"/>
  <c r="AC33" i="3"/>
  <c r="AI33" i="3"/>
  <c r="AE33" i="3"/>
  <c r="AH33" i="3"/>
  <c r="AG33" i="3"/>
  <c r="AD33" i="3"/>
  <c r="AF33" i="3"/>
  <c r="AC26" i="3"/>
  <c r="AE26" i="3"/>
  <c r="AH26" i="3"/>
  <c r="AG26" i="3"/>
  <c r="AF26" i="3"/>
  <c r="AI26" i="3"/>
  <c r="U42" i="2"/>
  <c r="AG20" i="3"/>
  <c r="AF20" i="3"/>
  <c r="AC42" i="3"/>
  <c r="W42" i="3"/>
  <c r="X42" i="3" s="1"/>
  <c r="AI42" i="3"/>
  <c r="AD42" i="3"/>
  <c r="AE42" i="3"/>
  <c r="AH42" i="3"/>
  <c r="AF42" i="3"/>
  <c r="AG42" i="3"/>
  <c r="AC16" i="3"/>
  <c r="AD16" i="3"/>
  <c r="AE20" i="3"/>
  <c r="P30" i="2"/>
  <c r="V16" i="2"/>
  <c r="P32" i="2"/>
  <c r="U40" i="2"/>
  <c r="P37" i="2"/>
  <c r="P24" i="2"/>
  <c r="U16" i="2"/>
  <c r="M38" i="2"/>
  <c r="V20" i="2"/>
  <c r="P35" i="2"/>
  <c r="U13" i="2"/>
  <c r="V27" i="2"/>
  <c r="U37" i="2"/>
  <c r="M17" i="2"/>
  <c r="V29" i="2"/>
  <c r="V32" i="2"/>
  <c r="P14" i="2"/>
  <c r="U34" i="2"/>
  <c r="V34" i="2"/>
  <c r="I39" i="3"/>
  <c r="Q39" i="3"/>
  <c r="R39" i="3" s="1"/>
  <c r="Q37" i="3"/>
  <c r="R37" i="3" s="1"/>
  <c r="Q38" i="3"/>
  <c r="R38" i="3" s="1"/>
  <c r="L38" i="3"/>
  <c r="O39" i="3"/>
  <c r="O38" i="3"/>
  <c r="K38" i="3"/>
  <c r="AL133" i="3" s="1"/>
  <c r="O37" i="3"/>
  <c r="AC14" i="3"/>
  <c r="AI14" i="3"/>
  <c r="AH14" i="3"/>
  <c r="AG14" i="3"/>
  <c r="AF14" i="3"/>
  <c r="W14" i="3" s="1"/>
  <c r="X14" i="3" s="1"/>
  <c r="AD14" i="3"/>
  <c r="AE14" i="3"/>
  <c r="AI40" i="3"/>
  <c r="AC40" i="3"/>
  <c r="AH40" i="3"/>
  <c r="AG40" i="3"/>
  <c r="AF40" i="3"/>
  <c r="AD40" i="3"/>
  <c r="AE40" i="3"/>
  <c r="W40" i="3"/>
  <c r="X40" i="3" s="1"/>
  <c r="Q19" i="3"/>
  <c r="R19" i="3" s="1"/>
  <c r="O20" i="3"/>
  <c r="Q20" i="3"/>
  <c r="R20" i="3" s="1"/>
  <c r="I21" i="3"/>
  <c r="Q21" i="3"/>
  <c r="R21" i="3" s="1"/>
  <c r="O21" i="3"/>
  <c r="O19" i="3"/>
  <c r="AC29" i="3"/>
  <c r="W29" i="3"/>
  <c r="X29" i="3" s="1"/>
  <c r="AE29" i="3"/>
  <c r="AD29" i="3"/>
  <c r="AH29" i="3"/>
  <c r="AG29" i="3"/>
  <c r="AI29" i="3"/>
  <c r="AF29" i="3"/>
  <c r="Q23" i="3"/>
  <c r="R23" i="3" s="1"/>
  <c r="I24" i="3"/>
  <c r="Q22" i="3"/>
  <c r="R22" i="3" s="1"/>
  <c r="O24" i="3"/>
  <c r="O22" i="3"/>
  <c r="L23" i="3"/>
  <c r="Q24" i="3"/>
  <c r="R24" i="3" s="1"/>
  <c r="O23" i="3"/>
  <c r="K23" i="3"/>
  <c r="AL118" i="3" s="1"/>
  <c r="AC30" i="3"/>
  <c r="AH30" i="3"/>
  <c r="AF30" i="3"/>
  <c r="AI30" i="3"/>
  <c r="W30" i="3"/>
  <c r="X30" i="3" s="1"/>
  <c r="AG30" i="3"/>
  <c r="AD30" i="3"/>
  <c r="AE30" i="3"/>
  <c r="AC23" i="3"/>
  <c r="W23" i="3"/>
  <c r="X23" i="3" s="1"/>
  <c r="AH23" i="3"/>
  <c r="AF23" i="3"/>
  <c r="AI23" i="3"/>
  <c r="AG23" i="3"/>
  <c r="AE23" i="3"/>
  <c r="AD23" i="3"/>
  <c r="AC17" i="3"/>
  <c r="AD17" i="3"/>
  <c r="AG17" i="3"/>
  <c r="AF17" i="3"/>
  <c r="AH17" i="3"/>
  <c r="AI17" i="3"/>
  <c r="AE17" i="3"/>
  <c r="Q40" i="3"/>
  <c r="R40" i="3" s="1"/>
  <c r="Q41" i="3"/>
  <c r="R41" i="3" s="1"/>
  <c r="Q42" i="3"/>
  <c r="R42" i="3" s="1"/>
  <c r="O41" i="3"/>
  <c r="L41" i="3"/>
  <c r="K41" i="3"/>
  <c r="AL136" i="3" s="1"/>
  <c r="O42" i="3"/>
  <c r="O40" i="3"/>
  <c r="I42" i="3"/>
  <c r="AC39" i="3"/>
  <c r="W39" i="3"/>
  <c r="X39" i="3" s="1"/>
  <c r="AI39" i="3"/>
  <c r="AG39" i="3"/>
  <c r="AD39" i="3"/>
  <c r="AH39" i="3"/>
  <c r="AE39" i="3"/>
  <c r="AF39" i="3"/>
  <c r="Q18" i="3"/>
  <c r="R18" i="3" s="1"/>
  <c r="I18" i="3"/>
  <c r="Q16" i="3"/>
  <c r="R16" i="3" s="1"/>
  <c r="Q17" i="3"/>
  <c r="R17" i="3" s="1"/>
  <c r="AC41" i="3"/>
  <c r="AH41" i="3"/>
  <c r="AE41" i="3"/>
  <c r="AG41" i="3"/>
  <c r="W41" i="3"/>
  <c r="X41" i="3" s="1"/>
  <c r="AD41" i="3"/>
  <c r="AI41" i="3"/>
  <c r="AF41" i="3"/>
  <c r="Q13" i="3"/>
  <c r="R13" i="3" s="1"/>
  <c r="I15" i="3"/>
  <c r="O13" i="3"/>
  <c r="Q15" i="3"/>
  <c r="R15" i="3" s="1"/>
  <c r="Q14" i="3"/>
  <c r="R14" i="3" s="1"/>
  <c r="O15" i="3"/>
  <c r="O14" i="3"/>
  <c r="I27" i="3"/>
  <c r="Q25" i="3"/>
  <c r="R25" i="3" s="1"/>
  <c r="Q27" i="3"/>
  <c r="R27" i="3" s="1"/>
  <c r="Q26" i="3"/>
  <c r="R26" i="3" s="1"/>
  <c r="O26" i="3"/>
  <c r="L26" i="3"/>
  <c r="K26" i="3"/>
  <c r="AL121" i="3" s="1"/>
  <c r="O25" i="3"/>
  <c r="O27" i="3"/>
  <c r="AC32" i="4"/>
  <c r="W32" i="4"/>
  <c r="X32" i="4" s="1"/>
  <c r="AI32" i="4"/>
  <c r="AD32" i="4"/>
  <c r="AF32" i="4"/>
  <c r="AG32" i="4"/>
  <c r="AH32" i="4"/>
  <c r="AE32" i="4"/>
  <c r="I24" i="4"/>
  <c r="Q22" i="4"/>
  <c r="R22" i="4" s="1"/>
  <c r="O23" i="4"/>
  <c r="L23" i="4"/>
  <c r="Q24" i="4"/>
  <c r="R24" i="4" s="1"/>
  <c r="Q23" i="4"/>
  <c r="R23" i="4" s="1"/>
  <c r="O24" i="4"/>
  <c r="O22" i="4"/>
  <c r="AC15" i="4"/>
  <c r="AF15" i="4"/>
  <c r="W15" i="4" s="1"/>
  <c r="X15" i="4" s="1"/>
  <c r="AG15" i="4"/>
  <c r="AI15" i="4"/>
  <c r="AD15" i="4"/>
  <c r="AH15" i="4"/>
  <c r="AE15" i="4"/>
  <c r="AC23" i="4"/>
  <c r="W23" i="4"/>
  <c r="X23" i="4" s="1"/>
  <c r="AI23" i="4"/>
  <c r="AF23" i="4"/>
  <c r="AH23" i="4"/>
  <c r="AG23" i="4"/>
  <c r="AD23" i="4"/>
  <c r="AE23" i="4"/>
  <c r="AC10" i="4"/>
  <c r="Z10" i="4"/>
  <c r="AI10" i="4"/>
  <c r="AG10" i="4"/>
  <c r="AE10" i="4"/>
  <c r="AH10" i="4"/>
  <c r="AF10" i="4"/>
  <c r="AD10" i="4"/>
  <c r="AC19" i="4"/>
  <c r="AI19" i="4"/>
  <c r="W19" i="4"/>
  <c r="X19" i="4" s="1"/>
  <c r="AF19" i="4"/>
  <c r="AH19" i="4"/>
  <c r="Z19" i="4"/>
  <c r="AD19" i="4"/>
  <c r="AE19" i="4"/>
  <c r="AG19" i="4"/>
  <c r="I42" i="4"/>
  <c r="Q40" i="4"/>
  <c r="R40" i="4" s="1"/>
  <c r="O42" i="4"/>
  <c r="O41" i="4"/>
  <c r="Q42" i="4"/>
  <c r="R42" i="4" s="1"/>
  <c r="Q41" i="4"/>
  <c r="R41" i="4" s="1"/>
  <c r="L41" i="4"/>
  <c r="O40" i="4"/>
  <c r="AC12" i="4"/>
  <c r="AI12" i="4"/>
  <c r="AH12" i="4"/>
  <c r="AE12" i="4"/>
  <c r="AG12" i="4"/>
  <c r="AD12" i="4"/>
  <c r="AF12" i="4"/>
  <c r="W12" i="4" s="1"/>
  <c r="X12" i="4" s="1"/>
  <c r="Q20" i="4"/>
  <c r="R20" i="4" s="1"/>
  <c r="I21" i="4"/>
  <c r="L20" i="4"/>
  <c r="N20" i="4" s="1"/>
  <c r="O21" i="4"/>
  <c r="O19" i="4"/>
  <c r="Q21" i="4"/>
  <c r="R21" i="4" s="1"/>
  <c r="Q19" i="4"/>
  <c r="R19" i="4" s="1"/>
  <c r="O20" i="4"/>
  <c r="O38" i="4"/>
  <c r="Q39" i="4"/>
  <c r="R39" i="4" s="1"/>
  <c r="O39" i="4"/>
  <c r="Q38" i="4"/>
  <c r="R38" i="4" s="1"/>
  <c r="L38" i="4"/>
  <c r="I39" i="4"/>
  <c r="Q37" i="4"/>
  <c r="R37" i="4" s="1"/>
  <c r="O37" i="4"/>
  <c r="AC16" i="4"/>
  <c r="AD16" i="4"/>
  <c r="AG16" i="4"/>
  <c r="AF16" i="4"/>
  <c r="W16" i="4" s="1"/>
  <c r="X16" i="4" s="1"/>
  <c r="Z16" i="4"/>
  <c r="AI16" i="4"/>
  <c r="AH16" i="4"/>
  <c r="AE16" i="4"/>
  <c r="AC22" i="4"/>
  <c r="Z22" i="4"/>
  <c r="AH22" i="4"/>
  <c r="AE22" i="4"/>
  <c r="AD22" i="4"/>
  <c r="W22" i="4"/>
  <c r="X22" i="4" s="1"/>
  <c r="AG22" i="4"/>
  <c r="AI22" i="4"/>
  <c r="AF22" i="4"/>
  <c r="AC25" i="4"/>
  <c r="Z25" i="4"/>
  <c r="AE25" i="4"/>
  <c r="AD25" i="4"/>
  <c r="AG25" i="4"/>
  <c r="W25" i="4"/>
  <c r="X25" i="4" s="1"/>
  <c r="AH25" i="4"/>
  <c r="AI25" i="4"/>
  <c r="AF25" i="4"/>
  <c r="AC31" i="4"/>
  <c r="Z31" i="4"/>
  <c r="AI31" i="4"/>
  <c r="AG31" i="4"/>
  <c r="AE31" i="4"/>
  <c r="W31" i="4"/>
  <c r="X31" i="4" s="1"/>
  <c r="AF31" i="4"/>
  <c r="AD31" i="4"/>
  <c r="AH31" i="4"/>
  <c r="Q30" i="4"/>
  <c r="R30" i="4" s="1"/>
  <c r="O29" i="4"/>
  <c r="Q29" i="4"/>
  <c r="R29" i="4" s="1"/>
  <c r="O30" i="4"/>
  <c r="I30" i="4"/>
  <c r="Q28" i="4"/>
  <c r="R28" i="4" s="1"/>
  <c r="O28" i="4"/>
  <c r="L29" i="4"/>
  <c r="AC26" i="4"/>
  <c r="AD26" i="4"/>
  <c r="AG26" i="4"/>
  <c r="AF26" i="4"/>
  <c r="W26" i="4"/>
  <c r="X26" i="4" s="1"/>
  <c r="AI26" i="4"/>
  <c r="AH26" i="4"/>
  <c r="AE26" i="4"/>
  <c r="Z34" i="4"/>
  <c r="AC35" i="4"/>
  <c r="W35" i="4"/>
  <c r="X35" i="4" s="1"/>
  <c r="AG35" i="4"/>
  <c r="AE35" i="4"/>
  <c r="AH35" i="4"/>
  <c r="AI35" i="4"/>
  <c r="AF35" i="4"/>
  <c r="AD35" i="4"/>
  <c r="AC28" i="4"/>
  <c r="Z28" i="4"/>
  <c r="AF28" i="4"/>
  <c r="AG28" i="4"/>
  <c r="AD28" i="4"/>
  <c r="W28" i="4"/>
  <c r="X28" i="4" s="1"/>
  <c r="AH28" i="4"/>
  <c r="AI28" i="4"/>
  <c r="AE28" i="4"/>
  <c r="Q10" i="4"/>
  <c r="R10" i="4" s="1"/>
  <c r="O11" i="4"/>
  <c r="Q12" i="4"/>
  <c r="R12" i="4" s="1"/>
  <c r="I12" i="4"/>
  <c r="L11" i="4" s="1"/>
  <c r="N11" i="4" s="1"/>
  <c r="Q11" i="4"/>
  <c r="R11" i="4" s="1"/>
  <c r="O10" i="4"/>
  <c r="O12" i="4"/>
  <c r="AC30" i="4"/>
  <c r="AG30" i="4"/>
  <c r="AE30" i="4"/>
  <c r="AF30" i="4"/>
  <c r="W30" i="4"/>
  <c r="X30" i="4" s="1"/>
  <c r="AD30" i="4"/>
  <c r="AH30" i="4"/>
  <c r="AI30" i="4"/>
  <c r="M20" i="2"/>
  <c r="P31" i="2"/>
  <c r="U35" i="2"/>
  <c r="V36" i="2"/>
  <c r="V13" i="2"/>
  <c r="M29" i="2"/>
  <c r="V14" i="2"/>
  <c r="V28" i="2"/>
  <c r="P36" i="2"/>
  <c r="V40" i="2"/>
  <c r="M41" i="2"/>
  <c r="U28" i="2"/>
  <c r="P19" i="2"/>
  <c r="I10" i="2"/>
  <c r="P29" i="2"/>
  <c r="V35" i="2"/>
  <c r="U25" i="2"/>
  <c r="V39" i="2"/>
  <c r="P23" i="2"/>
  <c r="U36" i="2"/>
  <c r="P28" i="2"/>
  <c r="U18" i="2"/>
  <c r="U23" i="2"/>
  <c r="P33" i="2"/>
  <c r="U41" i="2"/>
  <c r="P21" i="2"/>
  <c r="P42" i="2"/>
  <c r="V21" i="2"/>
  <c r="V23" i="2"/>
  <c r="P22" i="2"/>
  <c r="U33" i="2"/>
  <c r="P20" i="2"/>
  <c r="P34" i="2"/>
  <c r="U20" i="2"/>
  <c r="P13" i="2"/>
  <c r="M14" i="2"/>
  <c r="P27" i="2"/>
  <c r="P15" i="2"/>
  <c r="V37" i="2"/>
  <c r="U17" i="2"/>
  <c r="V19" i="2"/>
  <c r="U21" i="2"/>
  <c r="V18" i="2"/>
  <c r="M35" i="2"/>
  <c r="W28" i="3"/>
  <c r="X28" i="3" s="1"/>
  <c r="AC28" i="3"/>
  <c r="AI28" i="3"/>
  <c r="AE28" i="3"/>
  <c r="AG28" i="3"/>
  <c r="AD28" i="3"/>
  <c r="AH28" i="3"/>
  <c r="AF28" i="3"/>
  <c r="AC25" i="3"/>
  <c r="W25" i="3"/>
  <c r="X25" i="3" s="1"/>
  <c r="AI25" i="3"/>
  <c r="AH25" i="3"/>
  <c r="AD25" i="3"/>
  <c r="AE25" i="3"/>
  <c r="AG25" i="3"/>
  <c r="AF25" i="3"/>
  <c r="Q36" i="3"/>
  <c r="R36" i="3" s="1"/>
  <c r="Q34" i="3"/>
  <c r="R34" i="3" s="1"/>
  <c r="Q35" i="3"/>
  <c r="R35" i="3" s="1"/>
  <c r="O36" i="3"/>
  <c r="L35" i="3"/>
  <c r="K35" i="3"/>
  <c r="AL130" i="3" s="1"/>
  <c r="O34" i="3"/>
  <c r="O35" i="3"/>
  <c r="I36" i="3"/>
  <c r="AC27" i="3"/>
  <c r="AI27" i="3"/>
  <c r="W27" i="3"/>
  <c r="X27" i="3" s="1"/>
  <c r="AF27" i="3"/>
  <c r="AD27" i="3"/>
  <c r="AG27" i="3"/>
  <c r="AH27" i="3"/>
  <c r="AE27" i="3"/>
  <c r="W22" i="3"/>
  <c r="X22" i="3" s="1"/>
  <c r="AI22" i="3"/>
  <c r="AC22" i="3"/>
  <c r="AF22" i="3"/>
  <c r="AG22" i="3"/>
  <c r="AH22" i="3"/>
  <c r="AD22" i="3"/>
  <c r="AE22" i="3"/>
  <c r="AC11" i="3"/>
  <c r="AH11" i="3"/>
  <c r="AD11" i="3"/>
  <c r="AG11" i="3"/>
  <c r="AF11" i="3"/>
  <c r="W11" i="3" s="1"/>
  <c r="X11" i="3" s="1"/>
  <c r="AI11" i="3"/>
  <c r="AE11" i="3"/>
  <c r="AC10" i="3"/>
  <c r="AH10" i="3"/>
  <c r="AD10" i="3"/>
  <c r="AE10" i="3"/>
  <c r="AG10" i="3"/>
  <c r="AI10" i="3"/>
  <c r="AF10" i="3"/>
  <c r="W10" i="3" s="1"/>
  <c r="X10" i="3" s="1"/>
  <c r="AC12" i="3"/>
  <c r="AG12" i="3"/>
  <c r="AI12" i="3"/>
  <c r="AD12" i="3"/>
  <c r="AH12" i="3"/>
  <c r="AF12" i="3"/>
  <c r="W12" i="3" s="1"/>
  <c r="X12" i="3" s="1"/>
  <c r="AE12" i="3"/>
  <c r="Q31" i="3"/>
  <c r="R31" i="3" s="1"/>
  <c r="Q33" i="3"/>
  <c r="R33" i="3" s="1"/>
  <c r="Q32" i="3"/>
  <c r="R32" i="3" s="1"/>
  <c r="I33" i="3"/>
  <c r="O32" i="3"/>
  <c r="L32" i="3"/>
  <c r="O33" i="3"/>
  <c r="K32" i="3"/>
  <c r="AL127" i="3" s="1"/>
  <c r="O31" i="3"/>
  <c r="AC38" i="3"/>
  <c r="W38" i="3"/>
  <c r="X38" i="3" s="1"/>
  <c r="AH38" i="3"/>
  <c r="AI38" i="3"/>
  <c r="AE38" i="3"/>
  <c r="AF38" i="3"/>
  <c r="AG38" i="3"/>
  <c r="AD38" i="3"/>
  <c r="Q29" i="3"/>
  <c r="R29" i="3" s="1"/>
  <c r="Q28" i="3"/>
  <c r="R28" i="3" s="1"/>
  <c r="K29" i="3"/>
  <c r="AL124" i="3" s="1"/>
  <c r="O28" i="3"/>
  <c r="I30" i="3"/>
  <c r="O30" i="3"/>
  <c r="Q30" i="3"/>
  <c r="R30" i="3" s="1"/>
  <c r="O29" i="3"/>
  <c r="L29" i="3"/>
  <c r="AI34" i="3"/>
  <c r="AC34" i="3"/>
  <c r="AH34" i="3"/>
  <c r="AG34" i="3"/>
  <c r="AE34" i="3"/>
  <c r="AD34" i="3"/>
  <c r="AF34" i="3"/>
  <c r="W34" i="3"/>
  <c r="X34" i="3" s="1"/>
  <c r="AC37" i="3"/>
  <c r="W37" i="3"/>
  <c r="X37" i="3" s="1"/>
  <c r="AG37" i="3"/>
  <c r="AD37" i="3"/>
  <c r="AE37" i="3"/>
  <c r="AH37" i="3"/>
  <c r="AF37" i="3"/>
  <c r="AI37" i="3"/>
  <c r="AC19" i="3"/>
  <c r="AD19" i="3"/>
  <c r="AI19" i="3"/>
  <c r="AF19" i="3"/>
  <c r="W19" i="3" s="1"/>
  <c r="X19" i="3" s="1"/>
  <c r="AH19" i="3"/>
  <c r="AE19" i="3"/>
  <c r="AG19" i="3"/>
  <c r="AC31" i="3"/>
  <c r="W31" i="3"/>
  <c r="X31" i="3" s="1"/>
  <c r="AG31" i="3"/>
  <c r="AI31" i="3"/>
  <c r="AE31" i="3"/>
  <c r="AH31" i="3"/>
  <c r="AF31" i="3"/>
  <c r="AD31" i="3"/>
  <c r="Q11" i="3"/>
  <c r="R11" i="3" s="1"/>
  <c r="I12" i="3"/>
  <c r="O11" i="3"/>
  <c r="Q10" i="3"/>
  <c r="R10" i="3" s="1"/>
  <c r="Q12" i="3"/>
  <c r="R12" i="3" s="1"/>
  <c r="O12" i="3"/>
  <c r="O10" i="3"/>
  <c r="AC24" i="3"/>
  <c r="W24" i="3"/>
  <c r="X24" i="3" s="1"/>
  <c r="AG24" i="3"/>
  <c r="AI24" i="3"/>
  <c r="AE24" i="3"/>
  <c r="AH24" i="3"/>
  <c r="AF24" i="3"/>
  <c r="AD24" i="3"/>
  <c r="AC32" i="3"/>
  <c r="AH32" i="3"/>
  <c r="AF32" i="3"/>
  <c r="AD32" i="3"/>
  <c r="W32" i="3"/>
  <c r="X32" i="3" s="1"/>
  <c r="AG32" i="3"/>
  <c r="AI32" i="3"/>
  <c r="AE32" i="3"/>
  <c r="AC13" i="3"/>
  <c r="AH13" i="3"/>
  <c r="AD13" i="3"/>
  <c r="AG13" i="3"/>
  <c r="AF13" i="3"/>
  <c r="W13" i="3" s="1"/>
  <c r="X13" i="3" s="1"/>
  <c r="AI13" i="3"/>
  <c r="AE13" i="3"/>
  <c r="AC18" i="3"/>
  <c r="AE18" i="3"/>
  <c r="AG18" i="3"/>
  <c r="AF18" i="3"/>
  <c r="AH18" i="3"/>
  <c r="AI18" i="3"/>
  <c r="AD18" i="3"/>
  <c r="AC21" i="3"/>
  <c r="AH21" i="3"/>
  <c r="AF21" i="3"/>
  <c r="AI21" i="3"/>
  <c r="AG21" i="3"/>
  <c r="AD21" i="3"/>
  <c r="AE21" i="3"/>
  <c r="AC35" i="3"/>
  <c r="AH35" i="3"/>
  <c r="AI35" i="3"/>
  <c r="AF35" i="3"/>
  <c r="AD35" i="3"/>
  <c r="AG35" i="3"/>
  <c r="AE35" i="3"/>
  <c r="W35" i="3"/>
  <c r="X35" i="3" s="1"/>
  <c r="AC15" i="3"/>
  <c r="AG15" i="3"/>
  <c r="AH15" i="3"/>
  <c r="AD15" i="3"/>
  <c r="AI15" i="3"/>
  <c r="AF15" i="3"/>
  <c r="W15" i="3" s="1"/>
  <c r="X15" i="3" s="1"/>
  <c r="AE15" i="3"/>
  <c r="AC36" i="3"/>
  <c r="W36" i="3"/>
  <c r="X36" i="3" s="1"/>
  <c r="AG36" i="3"/>
  <c r="AF36" i="3"/>
  <c r="AD36" i="3"/>
  <c r="AH36" i="3"/>
  <c r="AE36" i="3"/>
  <c r="AI36" i="3"/>
  <c r="V38" i="2"/>
  <c r="V33" i="2"/>
  <c r="P39" i="2"/>
  <c r="U14" i="2"/>
  <c r="P17" i="2"/>
  <c r="V31" i="2"/>
  <c r="U27" i="2"/>
  <c r="AC36" i="4"/>
  <c r="W36" i="4"/>
  <c r="X36" i="4" s="1"/>
  <c r="AI36" i="4"/>
  <c r="AF36" i="4"/>
  <c r="AD36" i="4"/>
  <c r="AG36" i="4"/>
  <c r="AH36" i="4"/>
  <c r="AE36" i="4"/>
  <c r="I36" i="4"/>
  <c r="Q35" i="4"/>
  <c r="R35" i="4" s="1"/>
  <c r="L35" i="4"/>
  <c r="O34" i="4"/>
  <c r="Q36" i="4"/>
  <c r="R36" i="4" s="1"/>
  <c r="Q34" i="4"/>
  <c r="R34" i="4" s="1"/>
  <c r="O35" i="4"/>
  <c r="O36" i="4"/>
  <c r="W17" i="4"/>
  <c r="X17" i="4" s="1"/>
  <c r="W18" i="4"/>
  <c r="X18" i="4" s="1"/>
  <c r="AC21" i="4"/>
  <c r="AF21" i="4"/>
  <c r="AG21" i="4"/>
  <c r="W21" i="4"/>
  <c r="X21" i="4" s="1"/>
  <c r="AE21" i="4"/>
  <c r="AH21" i="4"/>
  <c r="AD21" i="4"/>
  <c r="AI21" i="4"/>
  <c r="AC33" i="4"/>
  <c r="AF33" i="4"/>
  <c r="W33" i="4"/>
  <c r="X33" i="4" s="1"/>
  <c r="AH33" i="4"/>
  <c r="AD33" i="4"/>
  <c r="AI33" i="4"/>
  <c r="AE33" i="4"/>
  <c r="AG33" i="4"/>
  <c r="AC42" i="4"/>
  <c r="W42" i="4"/>
  <c r="X42" i="4" s="1"/>
  <c r="AI42" i="4"/>
  <c r="AG42" i="4"/>
  <c r="AE42" i="4"/>
  <c r="AH42" i="4"/>
  <c r="AD42" i="4"/>
  <c r="AF42" i="4"/>
  <c r="AC40" i="4"/>
  <c r="Z40" i="4"/>
  <c r="AI40" i="4"/>
  <c r="AG40" i="4"/>
  <c r="AD40" i="4"/>
  <c r="W40" i="4"/>
  <c r="X40" i="4" s="1"/>
  <c r="AH40" i="4"/>
  <c r="AF40" i="4"/>
  <c r="AE40" i="4"/>
  <c r="AC29" i="4"/>
  <c r="AE29" i="4"/>
  <c r="AH29" i="4"/>
  <c r="AI29" i="4"/>
  <c r="W29" i="4"/>
  <c r="X29" i="4" s="1"/>
  <c r="AG29" i="4"/>
  <c r="AF29" i="4"/>
  <c r="AD29" i="4"/>
  <c r="AC38" i="4"/>
  <c r="W38" i="4"/>
  <c r="X38" i="4" s="1"/>
  <c r="AH38" i="4"/>
  <c r="AI38" i="4"/>
  <c r="AE38" i="4"/>
  <c r="AD38" i="4"/>
  <c r="AG38" i="4"/>
  <c r="AF38" i="4"/>
  <c r="AC13" i="4"/>
  <c r="AE13" i="4"/>
  <c r="AG13" i="4"/>
  <c r="AI13" i="4"/>
  <c r="Z13" i="4"/>
  <c r="AH13" i="4"/>
  <c r="AD13" i="4"/>
  <c r="AF13" i="4"/>
  <c r="W13" i="4" s="1"/>
  <c r="X13" i="4" s="1"/>
  <c r="Q18" i="4"/>
  <c r="R18" i="4" s="1"/>
  <c r="Q16" i="4"/>
  <c r="R16" i="4" s="1"/>
  <c r="Q17" i="4"/>
  <c r="R17" i="4" s="1"/>
  <c r="O17" i="4"/>
  <c r="I18" i="4"/>
  <c r="L17" i="4" s="1"/>
  <c r="N17" i="4" s="1"/>
  <c r="O16" i="4"/>
  <c r="O18" i="4"/>
  <c r="AC20" i="4"/>
  <c r="AI20" i="4"/>
  <c r="AH20" i="4"/>
  <c r="AF20" i="4"/>
  <c r="W20" i="4"/>
  <c r="X20" i="4" s="1"/>
  <c r="AE20" i="4"/>
  <c r="AG20" i="4"/>
  <c r="AD20" i="4"/>
  <c r="Q32" i="4"/>
  <c r="R32" i="4" s="1"/>
  <c r="Q33" i="4"/>
  <c r="R33" i="4" s="1"/>
  <c r="O33" i="4"/>
  <c r="O31" i="4"/>
  <c r="I33" i="4"/>
  <c r="Q31" i="4"/>
  <c r="R31" i="4" s="1"/>
  <c r="O32" i="4"/>
  <c r="L32" i="4"/>
  <c r="AC37" i="4"/>
  <c r="W37" i="4"/>
  <c r="X37" i="4" s="1"/>
  <c r="AF37" i="4"/>
  <c r="AH37" i="4"/>
  <c r="AD37" i="4"/>
  <c r="Z37" i="4"/>
  <c r="AI37" i="4"/>
  <c r="AE37" i="4"/>
  <c r="AG37" i="4"/>
  <c r="Q14" i="4"/>
  <c r="R14" i="4" s="1"/>
  <c r="Q15" i="4"/>
  <c r="R15" i="4" s="1"/>
  <c r="I15" i="4"/>
  <c r="L14" i="4" s="1"/>
  <c r="N14" i="4" s="1"/>
  <c r="Q13" i="4"/>
  <c r="R13" i="4" s="1"/>
  <c r="I27" i="4"/>
  <c r="W27" i="4"/>
  <c r="X27" i="4" s="1"/>
  <c r="AC24" i="4"/>
  <c r="AD24" i="4"/>
  <c r="AH24" i="4"/>
  <c r="AF24" i="4"/>
  <c r="W24" i="4"/>
  <c r="X24" i="4" s="1"/>
  <c r="AI24" i="4"/>
  <c r="AE24" i="4"/>
  <c r="AG24" i="4"/>
  <c r="AC11" i="4"/>
  <c r="AG11" i="4"/>
  <c r="AI11" i="4"/>
  <c r="AD11" i="4"/>
  <c r="AH11" i="4"/>
  <c r="AE11" i="4"/>
  <c r="AF11" i="4"/>
  <c r="W11" i="4" s="1"/>
  <c r="X11" i="4" s="1"/>
  <c r="AC41" i="4"/>
  <c r="AD41" i="4"/>
  <c r="AI41" i="4"/>
  <c r="AF41" i="4"/>
  <c r="AE41" i="4"/>
  <c r="W41" i="4"/>
  <c r="X41" i="4" s="1"/>
  <c r="AH41" i="4"/>
  <c r="AG41" i="4"/>
  <c r="AC14" i="4"/>
  <c r="AH14" i="4"/>
  <c r="AF14" i="4"/>
  <c r="W14" i="4" s="1"/>
  <c r="X14" i="4" s="1"/>
  <c r="AG14" i="4"/>
  <c r="AD14" i="4"/>
  <c r="AI14" i="4"/>
  <c r="AE14" i="4"/>
  <c r="U19" i="2"/>
  <c r="Z19" i="2" s="1"/>
  <c r="M26" i="2"/>
  <c r="I11" i="2"/>
  <c r="AH10" i="2" s="1"/>
  <c r="V15" i="2"/>
  <c r="P18" i="2"/>
  <c r="U31" i="2"/>
  <c r="P16" i="2"/>
  <c r="V24" i="2"/>
  <c r="V41" i="2"/>
  <c r="U26" i="2"/>
  <c r="U29" i="2"/>
  <c r="M23" i="2"/>
  <c r="V30" i="2"/>
  <c r="U15" i="2"/>
  <c r="U30" i="2"/>
  <c r="P26" i="2"/>
  <c r="P40" i="2"/>
  <c r="V17" i="2"/>
  <c r="U22" i="2"/>
  <c r="U24" i="2"/>
  <c r="P25" i="2"/>
  <c r="V22" i="2"/>
  <c r="U39" i="2"/>
  <c r="P38" i="2"/>
  <c r="V25" i="2"/>
  <c r="V42" i="2"/>
  <c r="U38" i="2"/>
  <c r="U32" i="2"/>
  <c r="P41" i="2"/>
  <c r="Z33" i="1" l="1"/>
  <c r="AB32" i="1" s="1"/>
  <c r="Z39" i="1"/>
  <c r="AB38" i="1" s="1"/>
  <c r="Z38" i="2"/>
  <c r="AP138" i="3"/>
  <c r="AO138" i="3" s="1"/>
  <c r="AQ137" i="3"/>
  <c r="AR137" i="3"/>
  <c r="AP137" i="3"/>
  <c r="AO137" i="3" s="1"/>
  <c r="AN136" i="3"/>
  <c r="AP136" i="3"/>
  <c r="AO136" i="3" s="1"/>
  <c r="AN138" i="3"/>
  <c r="AQ138" i="3"/>
  <c r="AR138" i="3"/>
  <c r="AN137" i="3"/>
  <c r="AR136" i="3"/>
  <c r="AQ136" i="3"/>
  <c r="AP123" i="3"/>
  <c r="AO123" i="3" s="1"/>
  <c r="AN121" i="3"/>
  <c r="AR122" i="3"/>
  <c r="AQ121" i="3"/>
  <c r="AQ122" i="3"/>
  <c r="AQ123" i="3"/>
  <c r="AR123" i="3"/>
  <c r="AP121" i="3"/>
  <c r="AO121" i="3" s="1"/>
  <c r="AP122" i="3"/>
  <c r="AO122" i="3" s="1"/>
  <c r="AN122" i="3"/>
  <c r="AR121" i="3"/>
  <c r="AN123" i="3"/>
  <c r="AQ120" i="3"/>
  <c r="AR118" i="3"/>
  <c r="AP120" i="3"/>
  <c r="AO120" i="3" s="1"/>
  <c r="AQ119" i="3"/>
  <c r="AR119" i="3"/>
  <c r="AP119" i="3"/>
  <c r="AO119" i="3" s="1"/>
  <c r="AN118" i="3"/>
  <c r="AR120" i="3"/>
  <c r="AN120" i="3"/>
  <c r="AQ118" i="3"/>
  <c r="AN119" i="3"/>
  <c r="AP118" i="3"/>
  <c r="AO118" i="3" s="1"/>
  <c r="AP135" i="3"/>
  <c r="AO135" i="3" s="1"/>
  <c r="AN133" i="3"/>
  <c r="AR134" i="3"/>
  <c r="AP134" i="3"/>
  <c r="AO134" i="3" s="1"/>
  <c r="AQ135" i="3"/>
  <c r="AR133" i="3"/>
  <c r="AQ133" i="3"/>
  <c r="AN134" i="3"/>
  <c r="AR135" i="3"/>
  <c r="AN135" i="3"/>
  <c r="AQ134" i="3"/>
  <c r="AP133" i="3"/>
  <c r="AO133" i="3" s="1"/>
  <c r="AP126" i="3"/>
  <c r="AO126" i="3" s="1"/>
  <c r="AQ125" i="3"/>
  <c r="AR125" i="3"/>
  <c r="AP125" i="3"/>
  <c r="AO125" i="3" s="1"/>
  <c r="AN124" i="3"/>
  <c r="AN125" i="3"/>
  <c r="AP124" i="3"/>
  <c r="AO124" i="3" s="1"/>
  <c r="AR124" i="3"/>
  <c r="AQ124" i="3"/>
  <c r="AR126" i="3"/>
  <c r="AQ126" i="3"/>
  <c r="AN126" i="3"/>
  <c r="AP129" i="3"/>
  <c r="AO129" i="3" s="1"/>
  <c r="AR127" i="3"/>
  <c r="AN127" i="3"/>
  <c r="AQ129" i="3"/>
  <c r="AN128" i="3"/>
  <c r="AQ128" i="3"/>
  <c r="AP128" i="3"/>
  <c r="AO128" i="3" s="1"/>
  <c r="AR128" i="3"/>
  <c r="AN129" i="3"/>
  <c r="AP127" i="3"/>
  <c r="AO127" i="3" s="1"/>
  <c r="AR129" i="3"/>
  <c r="AQ127" i="3"/>
  <c r="AQ132" i="3"/>
  <c r="AR130" i="3"/>
  <c r="AN130" i="3"/>
  <c r="AQ131" i="3"/>
  <c r="AR131" i="3"/>
  <c r="AP131" i="3"/>
  <c r="AO131" i="3" s="1"/>
  <c r="AP132" i="3"/>
  <c r="AO132" i="3" s="1"/>
  <c r="AR132" i="3"/>
  <c r="AN132" i="3"/>
  <c r="AQ130" i="3"/>
  <c r="AN131" i="3"/>
  <c r="AP130" i="3"/>
  <c r="AO130" i="3" s="1"/>
  <c r="Z29" i="2"/>
  <c r="Z23" i="2"/>
  <c r="Z35" i="2"/>
  <c r="Z28" i="2"/>
  <c r="Z26" i="2"/>
  <c r="Z31" i="2"/>
  <c r="Z20" i="2"/>
  <c r="Z40" i="2"/>
  <c r="Z41" i="2"/>
  <c r="Z16" i="2"/>
  <c r="Z32" i="2"/>
  <c r="Z17" i="2"/>
  <c r="Z34" i="2"/>
  <c r="Z22" i="2"/>
  <c r="Z37" i="2"/>
  <c r="Z25" i="2"/>
  <c r="AN114" i="1"/>
  <c r="Z17" i="1" s="1"/>
  <c r="AN115" i="1"/>
  <c r="AN113" i="1"/>
  <c r="Z16" i="1" s="1"/>
  <c r="AN118" i="1"/>
  <c r="AN117" i="1"/>
  <c r="AN116" i="1"/>
  <c r="Z18" i="1"/>
  <c r="O25" i="5"/>
  <c r="AN8" i="5"/>
  <c r="T27" i="5" s="1"/>
  <c r="AN9" i="5"/>
  <c r="AM9" i="5"/>
  <c r="AM8" i="5"/>
  <c r="S27" i="5" s="1"/>
  <c r="Z107" i="7"/>
  <c r="AB86" i="7"/>
  <c r="AB107" i="7" s="1"/>
  <c r="I109" i="7" s="1"/>
  <c r="I112" i="7" s="1"/>
  <c r="I114" i="7" s="1"/>
  <c r="I116" i="7" s="1"/>
  <c r="AB83" i="1"/>
  <c r="AB107" i="1" s="1"/>
  <c r="I109" i="1" s="1"/>
  <c r="I112" i="1" s="1"/>
  <c r="I114" i="1" s="1"/>
  <c r="I116" i="1" s="1"/>
  <c r="Z107" i="1"/>
  <c r="L20" i="1"/>
  <c r="AD10" i="2"/>
  <c r="AF10" i="2"/>
  <c r="W10" i="2" s="1"/>
  <c r="X10" i="2" s="1"/>
  <c r="AE10" i="2"/>
  <c r="AG10" i="2"/>
  <c r="AI10" i="2"/>
  <c r="AB35" i="1"/>
  <c r="Z42" i="1"/>
  <c r="AB41" i="1" s="1"/>
  <c r="AB29" i="1"/>
  <c r="AB26" i="1"/>
  <c r="AB23" i="1"/>
  <c r="N17" i="1"/>
  <c r="AR114" i="1"/>
  <c r="AQ114" i="1"/>
  <c r="AR113" i="1"/>
  <c r="AP113" i="1"/>
  <c r="AO113" i="1" s="1"/>
  <c r="AQ113" i="1"/>
  <c r="AP114" i="1"/>
  <c r="AO114" i="1" s="1"/>
  <c r="AR115" i="1"/>
  <c r="AP115" i="1"/>
  <c r="AO115" i="1" s="1"/>
  <c r="AQ115" i="1"/>
  <c r="N23" i="7"/>
  <c r="N44" i="7" s="1"/>
  <c r="AQ117" i="1"/>
  <c r="AR117" i="1"/>
  <c r="AQ118" i="1"/>
  <c r="AQ116" i="1"/>
  <c r="AR118" i="1"/>
  <c r="AP116" i="1"/>
  <c r="AO116" i="1" s="1"/>
  <c r="AP118" i="1"/>
  <c r="AP117" i="1"/>
  <c r="AO117" i="1" s="1"/>
  <c r="AR116" i="1"/>
  <c r="T23" i="7"/>
  <c r="T44" i="7" s="1"/>
  <c r="AB20" i="7"/>
  <c r="W21" i="3"/>
  <c r="X21" i="3" s="1"/>
  <c r="W20" i="3"/>
  <c r="X20" i="3" s="1"/>
  <c r="W16" i="3"/>
  <c r="X16" i="3" s="1"/>
  <c r="W18" i="3"/>
  <c r="X18" i="3" s="1"/>
  <c r="W17" i="3"/>
  <c r="X17" i="3" s="1"/>
  <c r="AB11" i="1"/>
  <c r="W10" i="4"/>
  <c r="X10" i="4" s="1"/>
  <c r="Y11" i="4" s="1"/>
  <c r="Z12" i="4" s="1"/>
  <c r="J25" i="5"/>
  <c r="I25" i="5"/>
  <c r="N25" i="5"/>
  <c r="AN11" i="2"/>
  <c r="T17" i="1"/>
  <c r="AB14" i="1"/>
  <c r="AO14" i="2"/>
  <c r="AN12" i="2"/>
  <c r="S26" i="4"/>
  <c r="T26" i="4" s="1"/>
  <c r="Y38" i="3"/>
  <c r="Z39" i="3" s="1"/>
  <c r="AN13" i="2"/>
  <c r="AC38" i="2"/>
  <c r="AE38" i="2"/>
  <c r="AG38" i="2"/>
  <c r="AI38" i="2"/>
  <c r="AD38" i="2"/>
  <c r="AF38" i="2"/>
  <c r="AH38" i="2"/>
  <c r="AD39" i="2"/>
  <c r="AF39" i="2"/>
  <c r="AH39" i="2"/>
  <c r="AC39" i="2"/>
  <c r="AE39" i="2"/>
  <c r="AG39" i="2"/>
  <c r="AI39" i="2"/>
  <c r="AC22" i="2"/>
  <c r="AE22" i="2"/>
  <c r="AG22" i="2"/>
  <c r="AI22" i="2"/>
  <c r="AD22" i="2"/>
  <c r="AF22" i="2"/>
  <c r="AH22" i="2"/>
  <c r="AC30" i="2"/>
  <c r="AE30" i="2"/>
  <c r="AG30" i="2"/>
  <c r="AI30" i="2"/>
  <c r="AD30" i="2"/>
  <c r="AF30" i="2"/>
  <c r="AH30" i="2"/>
  <c r="AD29" i="2"/>
  <c r="AF29" i="2"/>
  <c r="AH29" i="2"/>
  <c r="AC29" i="2"/>
  <c r="AE29" i="2"/>
  <c r="AG29" i="2"/>
  <c r="AI29" i="2"/>
  <c r="AD19" i="2"/>
  <c r="AF19" i="2"/>
  <c r="AH19" i="2"/>
  <c r="AC19" i="2"/>
  <c r="AE19" i="2"/>
  <c r="AG19" i="2"/>
  <c r="AI19" i="2"/>
  <c r="AC14" i="2"/>
  <c r="AD33" i="2"/>
  <c r="AF33" i="2"/>
  <c r="AH33" i="2"/>
  <c r="AC33" i="2"/>
  <c r="AE33" i="2"/>
  <c r="AG33" i="2"/>
  <c r="AI33" i="2"/>
  <c r="AD41" i="2"/>
  <c r="AF41" i="2"/>
  <c r="AH41" i="2"/>
  <c r="AC41" i="2"/>
  <c r="AE41" i="2"/>
  <c r="AG41" i="2"/>
  <c r="AI41" i="2"/>
  <c r="AD23" i="2"/>
  <c r="AF23" i="2"/>
  <c r="AH23" i="2"/>
  <c r="AC23" i="2"/>
  <c r="AE23" i="2"/>
  <c r="AG23" i="2"/>
  <c r="AI23" i="2"/>
  <c r="AD25" i="2"/>
  <c r="AF25" i="2"/>
  <c r="AH25" i="2"/>
  <c r="AC25" i="2"/>
  <c r="AE25" i="2"/>
  <c r="AG25" i="2"/>
  <c r="AI25" i="2"/>
  <c r="AD35" i="2"/>
  <c r="AF35" i="2"/>
  <c r="AH35" i="2"/>
  <c r="AC35" i="2"/>
  <c r="AE35" i="2"/>
  <c r="AG35" i="2"/>
  <c r="AI35" i="2"/>
  <c r="AC34" i="2"/>
  <c r="AE34" i="2"/>
  <c r="AG34" i="2"/>
  <c r="AI34" i="2"/>
  <c r="AD34" i="2"/>
  <c r="AF34" i="2"/>
  <c r="AH34" i="2"/>
  <c r="AC42" i="2"/>
  <c r="AE42" i="2"/>
  <c r="AG42" i="2"/>
  <c r="AI42" i="2"/>
  <c r="AD42" i="2"/>
  <c r="AF42" i="2"/>
  <c r="AH42" i="2"/>
  <c r="AC32" i="2"/>
  <c r="AE32" i="2"/>
  <c r="AG32" i="2"/>
  <c r="AI32" i="2"/>
  <c r="AD32" i="2"/>
  <c r="AF32" i="2"/>
  <c r="AH32" i="2"/>
  <c r="AC24" i="2"/>
  <c r="AE24" i="2"/>
  <c r="AG24" i="2"/>
  <c r="AI24" i="2"/>
  <c r="AD24" i="2"/>
  <c r="AF24" i="2"/>
  <c r="AH24" i="2"/>
  <c r="AC15" i="2"/>
  <c r="AC26" i="2"/>
  <c r="AE26" i="2"/>
  <c r="AG26" i="2"/>
  <c r="AI26" i="2"/>
  <c r="AD26" i="2"/>
  <c r="AF26" i="2"/>
  <c r="AH26" i="2"/>
  <c r="AD31" i="2"/>
  <c r="AF31" i="2"/>
  <c r="AH31" i="2"/>
  <c r="AC31" i="2"/>
  <c r="AE31" i="2"/>
  <c r="AG31" i="2"/>
  <c r="AI31" i="2"/>
  <c r="AD27" i="2"/>
  <c r="AF27" i="2"/>
  <c r="AH27" i="2"/>
  <c r="AC27" i="2"/>
  <c r="AE27" i="2"/>
  <c r="AG27" i="2"/>
  <c r="AI27" i="2"/>
  <c r="AD21" i="2"/>
  <c r="AF21" i="2"/>
  <c r="AH21" i="2"/>
  <c r="AC21" i="2"/>
  <c r="AE21" i="2"/>
  <c r="AG21" i="2"/>
  <c r="AI21" i="2"/>
  <c r="AC17" i="2"/>
  <c r="AC20" i="2"/>
  <c r="AE20" i="2"/>
  <c r="AG20" i="2"/>
  <c r="AI20" i="2"/>
  <c r="AD20" i="2"/>
  <c r="AF20" i="2"/>
  <c r="AH20" i="2"/>
  <c r="AC18" i="2"/>
  <c r="AC36" i="2"/>
  <c r="AE36" i="2"/>
  <c r="AG36" i="2"/>
  <c r="AI36" i="2"/>
  <c r="AD36" i="2"/>
  <c r="AF36" i="2"/>
  <c r="AH36" i="2"/>
  <c r="AC28" i="2"/>
  <c r="AE28" i="2"/>
  <c r="AG28" i="2"/>
  <c r="AI28" i="2"/>
  <c r="AD28" i="2"/>
  <c r="AF28" i="2"/>
  <c r="AH28" i="2"/>
  <c r="AD37" i="2"/>
  <c r="AF37" i="2"/>
  <c r="AH37" i="2"/>
  <c r="AC37" i="2"/>
  <c r="AE37" i="2"/>
  <c r="AG37" i="2"/>
  <c r="AI37" i="2"/>
  <c r="AC13" i="2"/>
  <c r="AC16" i="2"/>
  <c r="AC40" i="2"/>
  <c r="AE40" i="2"/>
  <c r="AG40" i="2"/>
  <c r="AI40" i="2"/>
  <c r="AD40" i="2"/>
  <c r="AF40" i="2"/>
  <c r="AH40" i="2"/>
  <c r="S20" i="4"/>
  <c r="T20" i="4" s="1"/>
  <c r="AO13" i="2"/>
  <c r="AO11" i="2"/>
  <c r="Y41" i="3"/>
  <c r="Z42" i="3" s="1"/>
  <c r="S38" i="4"/>
  <c r="T38" i="4" s="1"/>
  <c r="S11" i="3"/>
  <c r="Y38" i="4"/>
  <c r="Z39" i="4" s="1"/>
  <c r="S14" i="4"/>
  <c r="T14" i="4" s="1"/>
  <c r="S35" i="4"/>
  <c r="T35" i="4" s="1"/>
  <c r="Y32" i="3"/>
  <c r="Z33" i="3" s="1"/>
  <c r="Y35" i="3"/>
  <c r="Z36" i="3" s="1"/>
  <c r="S29" i="3"/>
  <c r="T29" i="3" s="1"/>
  <c r="Y14" i="4"/>
  <c r="Z15" i="4" s="1"/>
  <c r="S32" i="3"/>
  <c r="T32" i="3" s="1"/>
  <c r="Y11" i="3"/>
  <c r="Y23" i="3"/>
  <c r="Z24" i="3" s="1"/>
  <c r="N35" i="4"/>
  <c r="W11" i="2"/>
  <c r="X11" i="2" s="1"/>
  <c r="I13" i="2"/>
  <c r="W12" i="2"/>
  <c r="X12" i="2" s="1"/>
  <c r="N38" i="4"/>
  <c r="N41" i="4"/>
  <c r="N26" i="3"/>
  <c r="N41" i="3"/>
  <c r="N23" i="3"/>
  <c r="N38" i="3"/>
  <c r="S35" i="3"/>
  <c r="T35" i="3" s="1"/>
  <c r="S41" i="3"/>
  <c r="T41" i="3" s="1"/>
  <c r="Y26" i="4"/>
  <c r="Z27" i="4" s="1"/>
  <c r="S41" i="4"/>
  <c r="T41" i="4" s="1"/>
  <c r="Y32" i="4"/>
  <c r="Z33" i="4" s="1"/>
  <c r="Y23" i="4"/>
  <c r="Z24" i="4" s="1"/>
  <c r="S14" i="3"/>
  <c r="S17" i="3"/>
  <c r="S20" i="3"/>
  <c r="S38" i="3"/>
  <c r="T38" i="3" s="1"/>
  <c r="O11" i="2"/>
  <c r="O10" i="2"/>
  <c r="Q12" i="2"/>
  <c r="I14" i="2"/>
  <c r="AD13" i="2" s="1"/>
  <c r="Q10" i="2"/>
  <c r="R10" i="2" s="1"/>
  <c r="I12" i="2"/>
  <c r="Q11" i="2"/>
  <c r="R11" i="2" s="1"/>
  <c r="O12" i="2"/>
  <c r="N32" i="4"/>
  <c r="N29" i="3"/>
  <c r="N32" i="3"/>
  <c r="N35" i="3"/>
  <c r="N29" i="4"/>
  <c r="N23" i="4"/>
  <c r="S17" i="4"/>
  <c r="T17" i="4" s="1"/>
  <c r="Y29" i="4"/>
  <c r="Z30" i="4" s="1"/>
  <c r="S32" i="4"/>
  <c r="T32" i="4" s="1"/>
  <c r="Y41" i="4"/>
  <c r="Z42" i="4" s="1"/>
  <c r="Y14" i="3"/>
  <c r="Y26" i="3"/>
  <c r="Z27" i="3" s="1"/>
  <c r="Y29" i="3"/>
  <c r="Z30" i="3" s="1"/>
  <c r="Y17" i="4"/>
  <c r="Z18" i="4" s="1"/>
  <c r="Y20" i="4"/>
  <c r="Z21" i="4" s="1"/>
  <c r="S26" i="3"/>
  <c r="T26" i="3" s="1"/>
  <c r="S23" i="3"/>
  <c r="T23" i="3" s="1"/>
  <c r="S11" i="4"/>
  <c r="T11" i="4" s="1"/>
  <c r="Y35" i="4"/>
  <c r="Z36" i="4" s="1"/>
  <c r="S29" i="4"/>
  <c r="T29" i="4" s="1"/>
  <c r="S23" i="4"/>
  <c r="T23" i="4" s="1"/>
  <c r="N20" i="1" l="1"/>
  <c r="Z21" i="1"/>
  <c r="AO36" i="5"/>
  <c r="AO10" i="2" s="1"/>
  <c r="T20" i="1"/>
  <c r="T44" i="1" s="1"/>
  <c r="N44" i="1"/>
  <c r="AO118" i="1"/>
  <c r="AB23" i="7"/>
  <c r="AD15" i="2"/>
  <c r="AE15" i="2"/>
  <c r="AG15" i="2"/>
  <c r="AF15" i="2"/>
  <c r="W15" i="2" s="1"/>
  <c r="X15" i="2" s="1"/>
  <c r="AI15" i="2"/>
  <c r="AH15" i="2"/>
  <c r="AG14" i="2"/>
  <c r="AI14" i="2"/>
  <c r="AF14" i="2"/>
  <c r="AH14" i="2"/>
  <c r="Y20" i="3"/>
  <c r="Y17" i="3"/>
  <c r="AN36" i="5"/>
  <c r="AN10" i="2" s="1"/>
  <c r="AM12" i="3"/>
  <c r="AB17" i="1"/>
  <c r="AM13" i="3"/>
  <c r="AN15" i="3"/>
  <c r="AM14" i="3"/>
  <c r="N44" i="4"/>
  <c r="AB26" i="4"/>
  <c r="AE14" i="2"/>
  <c r="AD14" i="2"/>
  <c r="AG13" i="2"/>
  <c r="AF13" i="2"/>
  <c r="W13" i="2" s="1"/>
  <c r="X13" i="2" s="1"/>
  <c r="AI13" i="2"/>
  <c r="AE13" i="2"/>
  <c r="AH13" i="2"/>
  <c r="AN12" i="3"/>
  <c r="AN14" i="3"/>
  <c r="AN13" i="3"/>
  <c r="AO12" i="2"/>
  <c r="AM15" i="3"/>
  <c r="AN14" i="2"/>
  <c r="Y11" i="2"/>
  <c r="AB14" i="4"/>
  <c r="AB20" i="4"/>
  <c r="AB17" i="4"/>
  <c r="R12" i="2"/>
  <c r="S11" i="2" s="1"/>
  <c r="AB35" i="3"/>
  <c r="AB29" i="3"/>
  <c r="AB38" i="3"/>
  <c r="AB41" i="3"/>
  <c r="AB41" i="4"/>
  <c r="AB38" i="4"/>
  <c r="Q15" i="2"/>
  <c r="R15" i="2" s="1"/>
  <c r="I15" i="2"/>
  <c r="I17" i="2"/>
  <c r="Q14" i="2"/>
  <c r="R14" i="2" s="1"/>
  <c r="O15" i="2"/>
  <c r="O13" i="2"/>
  <c r="Q13" i="2"/>
  <c r="R13" i="2" s="1"/>
  <c r="O14" i="2"/>
  <c r="I16" i="2"/>
  <c r="T44" i="4"/>
  <c r="AB23" i="4"/>
  <c r="AB29" i="4"/>
  <c r="AB32" i="3"/>
  <c r="AB32" i="4"/>
  <c r="AB23" i="3"/>
  <c r="AB26" i="3"/>
  <c r="AB35" i="4"/>
  <c r="Z44" i="4"/>
  <c r="AB11" i="4"/>
  <c r="K11" i="2" l="1"/>
  <c r="I5" i="2"/>
  <c r="AN11" i="3"/>
  <c r="Z44" i="1"/>
  <c r="AB44" i="1" s="1"/>
  <c r="I46" i="1" s="1"/>
  <c r="I49" i="1" s="1"/>
  <c r="I51" i="1" s="1"/>
  <c r="AB20" i="1"/>
  <c r="Z44" i="7"/>
  <c r="AB44" i="7" s="1"/>
  <c r="I46" i="7" s="1"/>
  <c r="I49" i="7" s="1"/>
  <c r="I51" i="7" s="1"/>
  <c r="I53" i="7" s="1"/>
  <c r="W14" i="2"/>
  <c r="X14" i="2" s="1"/>
  <c r="Y14" i="2" s="1"/>
  <c r="AI18" i="2"/>
  <c r="AE18" i="2"/>
  <c r="AD18" i="2"/>
  <c r="AG18" i="2"/>
  <c r="AH18" i="2"/>
  <c r="AF18" i="2"/>
  <c r="W18" i="2" s="1"/>
  <c r="X18" i="2" s="1"/>
  <c r="AM11" i="3"/>
  <c r="AD17" i="2"/>
  <c r="AH17" i="2"/>
  <c r="AE17" i="2"/>
  <c r="AI17" i="2"/>
  <c r="AF17" i="2"/>
  <c r="AG17" i="2"/>
  <c r="AE16" i="2"/>
  <c r="AI16" i="2"/>
  <c r="AF16" i="2"/>
  <c r="AG16" i="2"/>
  <c r="AD16" i="2"/>
  <c r="AH16" i="2"/>
  <c r="S14" i="2"/>
  <c r="AB44" i="4"/>
  <c r="I46" i="4" s="1"/>
  <c r="I49" i="4" s="1"/>
  <c r="I51" i="4" s="1"/>
  <c r="I53" i="4" s="1"/>
  <c r="I19" i="2"/>
  <c r="O18" i="2"/>
  <c r="I18" i="2"/>
  <c r="Q18" i="2"/>
  <c r="R18" i="2" s="1"/>
  <c r="I20" i="2"/>
  <c r="Q17" i="2"/>
  <c r="R17" i="2" s="1"/>
  <c r="Q16" i="2"/>
  <c r="R16" i="2" s="1"/>
  <c r="O16" i="2"/>
  <c r="O17" i="2"/>
  <c r="AL106" i="2" l="1"/>
  <c r="AN107" i="2" s="1"/>
  <c r="Z10" i="2"/>
  <c r="L11" i="2"/>
  <c r="K14" i="2"/>
  <c r="AL109" i="2" s="1"/>
  <c r="K11" i="3"/>
  <c r="AL106" i="3" s="1"/>
  <c r="I5" i="3"/>
  <c r="I53" i="1"/>
  <c r="K14" i="3"/>
  <c r="K17" i="2"/>
  <c r="AL112" i="2" s="1"/>
  <c r="W16" i="2"/>
  <c r="X16" i="2" s="1"/>
  <c r="L14" i="3"/>
  <c r="Z15" i="3" s="1"/>
  <c r="W17" i="2"/>
  <c r="X17" i="2" s="1"/>
  <c r="S17" i="2"/>
  <c r="K20" i="2"/>
  <c r="AL115" i="2" s="1"/>
  <c r="O21" i="2"/>
  <c r="Q20" i="2"/>
  <c r="R20" i="2" s="1"/>
  <c r="L20" i="2"/>
  <c r="I23" i="2"/>
  <c r="I21" i="2"/>
  <c r="Q21" i="2"/>
  <c r="R21" i="2" s="1"/>
  <c r="O20" i="2"/>
  <c r="Q19" i="2"/>
  <c r="R19" i="2" s="1"/>
  <c r="O19" i="2"/>
  <c r="W20" i="2"/>
  <c r="X20" i="2" s="1"/>
  <c r="W19" i="2"/>
  <c r="X19" i="2" s="1"/>
  <c r="W21" i="2"/>
  <c r="X21" i="2" s="1"/>
  <c r="I22" i="2"/>
  <c r="AP108" i="3" l="1"/>
  <c r="AO108" i="3" s="1"/>
  <c r="AR106" i="3"/>
  <c r="AR107" i="3"/>
  <c r="AQ108" i="3"/>
  <c r="AN107" i="3"/>
  <c r="AQ107" i="3"/>
  <c r="AP107" i="3"/>
  <c r="AO107" i="3" s="1"/>
  <c r="AN106" i="3"/>
  <c r="AR108" i="3"/>
  <c r="AN108" i="3"/>
  <c r="AQ106" i="3"/>
  <c r="AP106" i="3"/>
  <c r="AO106" i="3" s="1"/>
  <c r="Z13" i="3"/>
  <c r="AL109" i="3"/>
  <c r="N11" i="2"/>
  <c r="Z12" i="2"/>
  <c r="AQ106" i="2"/>
  <c r="AR107" i="2"/>
  <c r="AP106" i="2"/>
  <c r="AQ107" i="2"/>
  <c r="AP108" i="2"/>
  <c r="AO108" i="2" s="1"/>
  <c r="AN108" i="2"/>
  <c r="AR106" i="2"/>
  <c r="AP107" i="2"/>
  <c r="AO107" i="2" s="1"/>
  <c r="AR108" i="2"/>
  <c r="AN106" i="2"/>
  <c r="AQ108" i="2"/>
  <c r="AR117" i="2"/>
  <c r="AN116" i="2"/>
  <c r="AN117" i="2"/>
  <c r="AR116" i="2"/>
  <c r="AP116" i="2"/>
  <c r="AO116" i="2" s="1"/>
  <c r="AQ117" i="2"/>
  <c r="AP115" i="2"/>
  <c r="AO115" i="2" s="1"/>
  <c r="AP117" i="2"/>
  <c r="AO117" i="2" s="1"/>
  <c r="AQ116" i="2"/>
  <c r="AN115" i="2"/>
  <c r="AQ115" i="2"/>
  <c r="AR115" i="2"/>
  <c r="AN111" i="2"/>
  <c r="AP110" i="2"/>
  <c r="AO110" i="2" s="1"/>
  <c r="AN110" i="2"/>
  <c r="Z14" i="2" s="1"/>
  <c r="AQ111" i="2"/>
  <c r="AP109" i="2"/>
  <c r="AO109" i="2" s="1"/>
  <c r="AR111" i="2"/>
  <c r="AR110" i="2"/>
  <c r="AP111" i="2"/>
  <c r="AO111" i="2" s="1"/>
  <c r="AR109" i="2"/>
  <c r="AN109" i="2"/>
  <c r="Z13" i="2" s="1"/>
  <c r="AQ109" i="2"/>
  <c r="AQ110" i="2"/>
  <c r="AQ114" i="2"/>
  <c r="AP112" i="2"/>
  <c r="AO112" i="2" s="1"/>
  <c r="AR113" i="2"/>
  <c r="AR114" i="2"/>
  <c r="AN113" i="2"/>
  <c r="AN114" i="2"/>
  <c r="AP113" i="2"/>
  <c r="AO113" i="2" s="1"/>
  <c r="AP114" i="2"/>
  <c r="AO114" i="2" s="1"/>
  <c r="AQ113" i="2"/>
  <c r="AN112" i="2"/>
  <c r="AR112" i="2"/>
  <c r="AQ112" i="2"/>
  <c r="L11" i="3"/>
  <c r="T11" i="3" s="1"/>
  <c r="L14" i="2"/>
  <c r="Z15" i="2" s="1"/>
  <c r="T11" i="2"/>
  <c r="K17" i="3"/>
  <c r="AL112" i="3" s="1"/>
  <c r="L17" i="2"/>
  <c r="Y17" i="2"/>
  <c r="N14" i="3"/>
  <c r="T14" i="3"/>
  <c r="S20" i="2"/>
  <c r="T20" i="2" s="1"/>
  <c r="Y20" i="2"/>
  <c r="Z21" i="2" s="1"/>
  <c r="W24" i="2"/>
  <c r="X24" i="2" s="1"/>
  <c r="W23" i="2"/>
  <c r="X23" i="2" s="1"/>
  <c r="I25" i="2"/>
  <c r="W22" i="2"/>
  <c r="X22" i="2" s="1"/>
  <c r="N20" i="2"/>
  <c r="L23" i="2"/>
  <c r="I24" i="2"/>
  <c r="Q23" i="2"/>
  <c r="R23" i="2" s="1"/>
  <c r="K23" i="2"/>
  <c r="AL118" i="2" s="1"/>
  <c r="O23" i="2"/>
  <c r="Q22" i="2"/>
  <c r="R22" i="2" s="1"/>
  <c r="I26" i="2"/>
  <c r="Q24" i="2"/>
  <c r="R24" i="2" s="1"/>
  <c r="O22" i="2"/>
  <c r="O24" i="2"/>
  <c r="N11" i="3" l="1"/>
  <c r="AP111" i="3"/>
  <c r="AO111" i="3" s="1"/>
  <c r="AN109" i="3"/>
  <c r="AR110" i="3"/>
  <c r="AQ110" i="3"/>
  <c r="AQ109" i="3"/>
  <c r="AQ111" i="3"/>
  <c r="AP110" i="3"/>
  <c r="AO110" i="3" s="1"/>
  <c r="AR111" i="3"/>
  <c r="AN110" i="3"/>
  <c r="AN111" i="3"/>
  <c r="AR109" i="3"/>
  <c r="AP109" i="3"/>
  <c r="AO109" i="3" s="1"/>
  <c r="AQ114" i="3"/>
  <c r="AR113" i="3"/>
  <c r="AP113" i="3"/>
  <c r="AO113" i="3" s="1"/>
  <c r="AQ113" i="3"/>
  <c r="AP114" i="3"/>
  <c r="AO114" i="3" s="1"/>
  <c r="AN112" i="3"/>
  <c r="Z16" i="3" s="1"/>
  <c r="AR112" i="3"/>
  <c r="AN113" i="3"/>
  <c r="Z17" i="3" s="1"/>
  <c r="AP112" i="3"/>
  <c r="AO112" i="3" s="1"/>
  <c r="AR114" i="3"/>
  <c r="AN114" i="3"/>
  <c r="AQ112" i="3"/>
  <c r="Z18" i="2"/>
  <c r="AO106" i="2"/>
  <c r="AR119" i="2"/>
  <c r="AN120" i="2"/>
  <c r="AP119" i="2"/>
  <c r="AO119" i="2" s="1"/>
  <c r="AQ120" i="2"/>
  <c r="AP118" i="2"/>
  <c r="AO118" i="2" s="1"/>
  <c r="AR120" i="2"/>
  <c r="AN119" i="2"/>
  <c r="AP120" i="2"/>
  <c r="AO120" i="2" s="1"/>
  <c r="AQ118" i="2"/>
  <c r="AQ119" i="2"/>
  <c r="AN118" i="2"/>
  <c r="AR118" i="2"/>
  <c r="AB11" i="2"/>
  <c r="Z12" i="3"/>
  <c r="AB11" i="3" s="1"/>
  <c r="N14" i="2"/>
  <c r="T14" i="2"/>
  <c r="L17" i="3"/>
  <c r="Z18" i="3" s="1"/>
  <c r="K20" i="3"/>
  <c r="AL115" i="3" s="1"/>
  <c r="N17" i="2"/>
  <c r="T17" i="2"/>
  <c r="AB14" i="3"/>
  <c r="Y23" i="2"/>
  <c r="Z24" i="2" s="1"/>
  <c r="W25" i="2"/>
  <c r="X25" i="2" s="1"/>
  <c r="W27" i="2"/>
  <c r="X27" i="2" s="1"/>
  <c r="I28" i="2"/>
  <c r="W26" i="2"/>
  <c r="X26" i="2" s="1"/>
  <c r="S23" i="2"/>
  <c r="T23" i="2" s="1"/>
  <c r="AB20" i="2"/>
  <c r="O27" i="2"/>
  <c r="L26" i="2"/>
  <c r="O26" i="2"/>
  <c r="Q26" i="2"/>
  <c r="R26" i="2" s="1"/>
  <c r="I29" i="2"/>
  <c r="Q25" i="2"/>
  <c r="R25" i="2" s="1"/>
  <c r="I27" i="2"/>
  <c r="Q27" i="2"/>
  <c r="R27" i="2" s="1"/>
  <c r="K26" i="2"/>
  <c r="AL121" i="2" s="1"/>
  <c r="O25" i="2"/>
  <c r="N23" i="2"/>
  <c r="AP117" i="3" l="1"/>
  <c r="AO117" i="3" s="1"/>
  <c r="AR115" i="3"/>
  <c r="AR116" i="3"/>
  <c r="AQ117" i="3"/>
  <c r="AN116" i="3"/>
  <c r="AQ116" i="3"/>
  <c r="AP116" i="3"/>
  <c r="AO116" i="3" s="1"/>
  <c r="AN115" i="3"/>
  <c r="AN117" i="3"/>
  <c r="AP115" i="3"/>
  <c r="AO115" i="3" s="1"/>
  <c r="AQ115" i="3"/>
  <c r="AR117" i="3"/>
  <c r="AN123" i="2"/>
  <c r="AP122" i="2"/>
  <c r="AO122" i="2" s="1"/>
  <c r="AN122" i="2"/>
  <c r="AQ123" i="2"/>
  <c r="AP121" i="2"/>
  <c r="AO121" i="2" s="1"/>
  <c r="AR123" i="2"/>
  <c r="AR122" i="2"/>
  <c r="AP123" i="2"/>
  <c r="AO123" i="2" s="1"/>
  <c r="AN121" i="2"/>
  <c r="AQ121" i="2"/>
  <c r="AQ122" i="2"/>
  <c r="AR121" i="2"/>
  <c r="AB14" i="2"/>
  <c r="N17" i="3"/>
  <c r="T17" i="3"/>
  <c r="L20" i="3"/>
  <c r="Z21" i="3" s="1"/>
  <c r="AB17" i="2"/>
  <c r="AB23" i="2"/>
  <c r="Q28" i="2"/>
  <c r="R28" i="2" s="1"/>
  <c r="K29" i="2"/>
  <c r="AL124" i="2" s="1"/>
  <c r="O30" i="2"/>
  <c r="Q30" i="2"/>
  <c r="R30" i="2" s="1"/>
  <c r="L29" i="2"/>
  <c r="Q29" i="2"/>
  <c r="R29" i="2" s="1"/>
  <c r="O28" i="2"/>
  <c r="I32" i="2"/>
  <c r="I30" i="2"/>
  <c r="O29" i="2"/>
  <c r="W30" i="2"/>
  <c r="X30" i="2" s="1"/>
  <c r="I31" i="2"/>
  <c r="W29" i="2"/>
  <c r="X29" i="2" s="1"/>
  <c r="W28" i="2"/>
  <c r="X28" i="2" s="1"/>
  <c r="Y26" i="2"/>
  <c r="Z27" i="2" s="1"/>
  <c r="N26" i="2"/>
  <c r="S26" i="2"/>
  <c r="T26" i="2" s="1"/>
  <c r="AQ126" i="2" l="1"/>
  <c r="AP124" i="2"/>
  <c r="AO124" i="2" s="1"/>
  <c r="AR125" i="2"/>
  <c r="AR126" i="2"/>
  <c r="AN125" i="2"/>
  <c r="AN126" i="2"/>
  <c r="AP125" i="2"/>
  <c r="AO125" i="2" s="1"/>
  <c r="AP126" i="2"/>
  <c r="AO126" i="2" s="1"/>
  <c r="AQ125" i="2"/>
  <c r="AN124" i="2"/>
  <c r="AR124" i="2"/>
  <c r="AQ124" i="2"/>
  <c r="AB17" i="3"/>
  <c r="T20" i="3"/>
  <c r="T44" i="3" s="1"/>
  <c r="N20" i="3"/>
  <c r="N44" i="3" s="1"/>
  <c r="Z19" i="3"/>
  <c r="Z44" i="3" s="1"/>
  <c r="N29" i="2"/>
  <c r="S29" i="2"/>
  <c r="T29" i="2" s="1"/>
  <c r="I34" i="2"/>
  <c r="W32" i="2"/>
  <c r="X32" i="2" s="1"/>
  <c r="W33" i="2"/>
  <c r="X33" i="2" s="1"/>
  <c r="W31" i="2"/>
  <c r="X31" i="2" s="1"/>
  <c r="O33" i="2"/>
  <c r="Q31" i="2"/>
  <c r="R31" i="2" s="1"/>
  <c r="I33" i="2"/>
  <c r="Q32" i="2"/>
  <c r="R32" i="2" s="1"/>
  <c r="I35" i="2"/>
  <c r="L32" i="2"/>
  <c r="O32" i="2"/>
  <c r="Q33" i="2"/>
  <c r="R33" i="2" s="1"/>
  <c r="K32" i="2"/>
  <c r="AL127" i="2" s="1"/>
  <c r="O31" i="2"/>
  <c r="AB26" i="2"/>
  <c r="Y29" i="2"/>
  <c r="Z30" i="2" s="1"/>
  <c r="AR129" i="2" l="1"/>
  <c r="AN128" i="2"/>
  <c r="AN129" i="2"/>
  <c r="AR128" i="2"/>
  <c r="AP128" i="2"/>
  <c r="AO128" i="2" s="1"/>
  <c r="AQ129" i="2"/>
  <c r="AP127" i="2"/>
  <c r="AO127" i="2" s="1"/>
  <c r="AP129" i="2"/>
  <c r="AO129" i="2" s="1"/>
  <c r="AQ127" i="2"/>
  <c r="AN127" i="2"/>
  <c r="AQ128" i="2"/>
  <c r="AR127" i="2"/>
  <c r="AB44" i="3"/>
  <c r="I46" i="3" s="1"/>
  <c r="I49" i="3" s="1"/>
  <c r="I51" i="3" s="1"/>
  <c r="I53" i="3" s="1"/>
  <c r="J54" i="5" s="1"/>
  <c r="AB20" i="3"/>
  <c r="Y32" i="2"/>
  <c r="Z33" i="2" s="1"/>
  <c r="N32" i="2"/>
  <c r="S32" i="2"/>
  <c r="T32" i="2" s="1"/>
  <c r="L35" i="2"/>
  <c r="I38" i="2"/>
  <c r="Q35" i="2"/>
  <c r="R35" i="2" s="1"/>
  <c r="Q34" i="2"/>
  <c r="R34" i="2" s="1"/>
  <c r="O36" i="2"/>
  <c r="Q36" i="2"/>
  <c r="R36" i="2" s="1"/>
  <c r="O34" i="2"/>
  <c r="K35" i="2"/>
  <c r="AL130" i="2" s="1"/>
  <c r="I36" i="2"/>
  <c r="O35" i="2"/>
  <c r="W36" i="2"/>
  <c r="X36" i="2" s="1"/>
  <c r="W34" i="2"/>
  <c r="X34" i="2" s="1"/>
  <c r="I37" i="2"/>
  <c r="W35" i="2"/>
  <c r="X35" i="2" s="1"/>
  <c r="AB29" i="2"/>
  <c r="AR131" i="2" l="1"/>
  <c r="AQ132" i="2"/>
  <c r="AN132" i="2"/>
  <c r="AP131" i="2"/>
  <c r="AO131" i="2" s="1"/>
  <c r="AP130" i="2"/>
  <c r="AO130" i="2" s="1"/>
  <c r="AR132" i="2"/>
  <c r="AN131" i="2"/>
  <c r="AP132" i="2"/>
  <c r="AO132" i="2" s="1"/>
  <c r="AQ130" i="2"/>
  <c r="AQ131" i="2"/>
  <c r="AN130" i="2"/>
  <c r="AR130" i="2"/>
  <c r="O38" i="2"/>
  <c r="O39" i="2"/>
  <c r="I41" i="2"/>
  <c r="I39" i="2"/>
  <c r="L38" i="2"/>
  <c r="K38" i="2"/>
  <c r="AL133" i="2" s="1"/>
  <c r="Q38" i="2"/>
  <c r="Q37" i="2"/>
  <c r="R37" i="2" s="1"/>
  <c r="O37" i="2"/>
  <c r="Q39" i="2"/>
  <c r="R39" i="2" s="1"/>
  <c r="Y35" i="2"/>
  <c r="Z36" i="2" s="1"/>
  <c r="S35" i="2"/>
  <c r="T35" i="2" s="1"/>
  <c r="AB32" i="2"/>
  <c r="I40" i="2"/>
  <c r="W37" i="2"/>
  <c r="X37" i="2" s="1"/>
  <c r="W39" i="2"/>
  <c r="X39" i="2" s="1"/>
  <c r="W38" i="2"/>
  <c r="X38" i="2" s="1"/>
  <c r="N35" i="2"/>
  <c r="AN135" i="2" l="1"/>
  <c r="AP134" i="2"/>
  <c r="AO134" i="2" s="1"/>
  <c r="AQ135" i="2"/>
  <c r="AP133" i="2"/>
  <c r="AO133" i="2" s="1"/>
  <c r="AR135" i="2"/>
  <c r="AN134" i="2"/>
  <c r="AR134" i="2"/>
  <c r="AP135" i="2"/>
  <c r="AO135" i="2" s="1"/>
  <c r="AN133" i="2"/>
  <c r="AQ133" i="2"/>
  <c r="AQ134" i="2"/>
  <c r="AR133" i="2"/>
  <c r="R38" i="2"/>
  <c r="S38" i="2" s="1"/>
  <c r="T38" i="2" s="1"/>
  <c r="N38" i="2"/>
  <c r="L41" i="2"/>
  <c r="O40" i="2"/>
  <c r="O42" i="2"/>
  <c r="O41" i="2"/>
  <c r="K41" i="2"/>
  <c r="AL136" i="2" s="1"/>
  <c r="Q41" i="2"/>
  <c r="R41" i="2" s="1"/>
  <c r="Q42" i="2"/>
  <c r="R42" i="2" s="1"/>
  <c r="I42" i="2"/>
  <c r="Q40" i="2"/>
  <c r="R40" i="2" s="1"/>
  <c r="AB35" i="2"/>
  <c r="Y38" i="2"/>
  <c r="Z39" i="2" s="1"/>
  <c r="W41" i="2"/>
  <c r="X41" i="2" s="1"/>
  <c r="W42" i="2"/>
  <c r="X42" i="2" s="1"/>
  <c r="W40" i="2"/>
  <c r="X40" i="2" s="1"/>
  <c r="AQ138" i="2" l="1"/>
  <c r="AP136" i="2"/>
  <c r="AO136" i="2" s="1"/>
  <c r="AR138" i="2"/>
  <c r="AN137" i="2"/>
  <c r="AR137" i="2"/>
  <c r="AN138" i="2"/>
  <c r="AP137" i="2"/>
  <c r="AO137" i="2" s="1"/>
  <c r="AP138" i="2"/>
  <c r="AO138" i="2" s="1"/>
  <c r="AQ137" i="2"/>
  <c r="AN136" i="2"/>
  <c r="AR136" i="2"/>
  <c r="AQ136" i="2"/>
  <c r="Y41" i="2"/>
  <c r="Z42" i="2" s="1"/>
  <c r="S41" i="2"/>
  <c r="T41" i="2" s="1"/>
  <c r="T44" i="2" s="1"/>
  <c r="N41" i="2"/>
  <c r="N44" i="2" s="1"/>
  <c r="AB38" i="2"/>
  <c r="Z44" i="2" l="1"/>
  <c r="AB44" i="2" s="1"/>
  <c r="I46" i="2" s="1"/>
  <c r="I49" i="2" s="1"/>
  <c r="I51" i="2" s="1"/>
  <c r="I53" i="2" s="1"/>
  <c r="J52" i="5" s="1"/>
  <c r="AB41" i="2"/>
  <c r="J58" i="5" l="1"/>
  <c r="J60" i="5"/>
  <c r="L59" i="5" s="1"/>
  <c r="J56" i="5"/>
  <c r="L54" i="5" l="1"/>
</calcChain>
</file>

<file path=xl/sharedStrings.xml><?xml version="1.0" encoding="utf-8"?>
<sst xmlns="http://schemas.openxmlformats.org/spreadsheetml/2006/main" count="1228" uniqueCount="255">
  <si>
    <t>件　　　名</t>
  </si>
  <si>
    <t>設備名称</t>
  </si>
  <si>
    <t>設　計</t>
  </si>
  <si>
    <t>同時開放個数</t>
  </si>
  <si>
    <t>エルボ</t>
  </si>
  <si>
    <t>チーズ</t>
  </si>
  <si>
    <t>仕切弁</t>
  </si>
  <si>
    <t>流　量</t>
  </si>
  <si>
    <t>基本摩擦係数</t>
  </si>
  <si>
    <t>管　類　損　失</t>
  </si>
  <si>
    <t>継　　　　　手　　　　　類　　　　　損　　　　　失</t>
  </si>
  <si>
    <t>弁　　　　　　　　　類　　　　　　　　　損　　　　　　　　　失</t>
  </si>
  <si>
    <t>１m当たり（単位m）</t>
  </si>
  <si>
    <t>摩擦損失</t>
  </si>
  <si>
    <t>名　称</t>
  </si>
  <si>
    <t>個数</t>
  </si>
  <si>
    <t>換算長</t>
  </si>
  <si>
    <t>換算合計</t>
  </si>
  <si>
    <t>合計長</t>
  </si>
  <si>
    <t>名　  称</t>
  </si>
  <si>
    <t>摩擦損失合計</t>
  </si>
  <si>
    <t>配</t>
  </si>
  <si>
    <t>管</t>
  </si>
  <si>
    <t>摩</t>
  </si>
  <si>
    <t>擦</t>
  </si>
  <si>
    <t>損</t>
  </si>
  <si>
    <t>失</t>
  </si>
  <si>
    <t>水</t>
  </si>
  <si>
    <t>頭</t>
  </si>
  <si>
    <t>計</t>
  </si>
  <si>
    <t>算</t>
  </si>
  <si>
    <t>表</t>
  </si>
  <si>
    <t>摩擦損失水頭</t>
  </si>
  <si>
    <t>ｍ</t>
  </si>
  <si>
    <t>実　　揚　　程</t>
  </si>
  <si>
    <t>小　　　　　　計</t>
  </si>
  <si>
    <t>L／ｍｉｎ</t>
    <phoneticPr fontId="4"/>
  </si>
  <si>
    <t>個</t>
    <phoneticPr fontId="4"/>
  </si>
  <si>
    <t>チーズ（直）</t>
    <rPh sb="4" eb="5">
      <t>チョク</t>
    </rPh>
    <phoneticPr fontId="4"/>
  </si>
  <si>
    <t>HIVP</t>
    <phoneticPr fontId="4"/>
  </si>
  <si>
    <t>SGP-VB</t>
    <phoneticPr fontId="4"/>
  </si>
  <si>
    <t>逆止弁</t>
    <rPh sb="0" eb="1">
      <t>ギャク</t>
    </rPh>
    <rPh sb="1" eb="2">
      <t>シ</t>
    </rPh>
    <rPh sb="2" eb="3">
      <t>ベン</t>
    </rPh>
    <phoneticPr fontId="4"/>
  </si>
  <si>
    <t>Ｙスト</t>
    <phoneticPr fontId="4"/>
  </si>
  <si>
    <t>*1</t>
    <phoneticPr fontId="4"/>
  </si>
  <si>
    <t>区　画</t>
    <rPh sb="0" eb="1">
      <t>ク</t>
    </rPh>
    <rPh sb="2" eb="3">
      <t>ガ</t>
    </rPh>
    <phoneticPr fontId="4"/>
  </si>
  <si>
    <t>計 算 区 間</t>
    <rPh sb="6" eb="7">
      <t>カン</t>
    </rPh>
    <phoneticPr fontId="4"/>
  </si>
  <si>
    <t>区　間</t>
    <rPh sb="2" eb="3">
      <t>カン</t>
    </rPh>
    <phoneticPr fontId="4"/>
  </si>
  <si>
    <t>配管径</t>
    <rPh sb="0" eb="1">
      <t>ハイ</t>
    </rPh>
    <phoneticPr fontId="4"/>
  </si>
  <si>
    <t>配管長</t>
    <rPh sb="0" eb="1">
      <t>ハイ</t>
    </rPh>
    <phoneticPr fontId="4"/>
  </si>
  <si>
    <t>放水圧力水頭</t>
    <rPh sb="0" eb="2">
      <t>ホウスイ</t>
    </rPh>
    <rPh sb="2" eb="4">
      <t>アツリョク</t>
    </rPh>
    <rPh sb="4" eb="6">
      <t>スイトウ</t>
    </rPh>
    <phoneticPr fontId="4"/>
  </si>
  <si>
    <t>必要給水圧力</t>
    <rPh sb="0" eb="2">
      <t>ヒツヨウ</t>
    </rPh>
    <rPh sb="2" eb="4">
      <t>キュウスイ</t>
    </rPh>
    <rPh sb="4" eb="6">
      <t>アツリョク</t>
    </rPh>
    <phoneticPr fontId="4"/>
  </si>
  <si>
    <t>( SGP-VA/VB/VD )</t>
    <phoneticPr fontId="4"/>
  </si>
  <si>
    <t>硬質塩化ビニルライニング鋼管</t>
    <rPh sb="0" eb="2">
      <t>コウシツ</t>
    </rPh>
    <rPh sb="2" eb="4">
      <t>エンカ</t>
    </rPh>
    <rPh sb="12" eb="14">
      <t>コウカン</t>
    </rPh>
    <phoneticPr fontId="4"/>
  </si>
  <si>
    <t>ポリエチレン粉体ライニング鋼管</t>
    <rPh sb="6" eb="7">
      <t>コナ</t>
    </rPh>
    <rPh sb="7" eb="8">
      <t>タイ</t>
    </rPh>
    <rPh sb="13" eb="15">
      <t>コウカン</t>
    </rPh>
    <phoneticPr fontId="4"/>
  </si>
  <si>
    <t>( SGP-PA/PB/PD )</t>
    <phoneticPr fontId="4"/>
  </si>
  <si>
    <t>摩擦損失　　　　　　　　　　水頭合計</t>
    <rPh sb="14" eb="16">
      <t>スイトウ</t>
    </rPh>
    <phoneticPr fontId="4"/>
  </si>
  <si>
    <t>SGP-PB</t>
    <phoneticPr fontId="4"/>
  </si>
  <si>
    <t>余　　裕　　率</t>
    <rPh sb="0" eb="1">
      <t>ヨ</t>
    </rPh>
    <rPh sb="3" eb="4">
      <t>ユウ</t>
    </rPh>
    <rPh sb="6" eb="7">
      <t>リツ</t>
    </rPh>
    <phoneticPr fontId="4"/>
  </si>
  <si>
    <t>( HIVP )</t>
    <phoneticPr fontId="4"/>
  </si>
  <si>
    <t>配管用炭素鋼管</t>
    <rPh sb="0" eb="3">
      <t>ハイカンヨウ</t>
    </rPh>
    <rPh sb="3" eb="5">
      <t>タンソ</t>
    </rPh>
    <rPh sb="5" eb="7">
      <t>コウカン</t>
    </rPh>
    <phoneticPr fontId="4"/>
  </si>
  <si>
    <t>( SGP )</t>
    <phoneticPr fontId="4"/>
  </si>
  <si>
    <t>SGP</t>
    <phoneticPr fontId="4"/>
  </si>
  <si>
    <t>水道用硬質ポリ塩化ビニル管</t>
    <rPh sb="0" eb="3">
      <t>スイドウヨウ</t>
    </rPh>
    <rPh sb="3" eb="5">
      <t>コウシツ</t>
    </rPh>
    <rPh sb="7" eb="9">
      <t>エンカ</t>
    </rPh>
    <rPh sb="12" eb="13">
      <t>カン</t>
    </rPh>
    <phoneticPr fontId="4"/>
  </si>
  <si>
    <t>フレキ（SP-2、1100mm)</t>
    <phoneticPr fontId="4"/>
  </si>
  <si>
    <t>フレキ</t>
    <phoneticPr fontId="4"/>
  </si>
  <si>
    <t>巻き出しフレキ</t>
    <rPh sb="0" eb="1">
      <t>マ</t>
    </rPh>
    <rPh sb="2" eb="3">
      <t>ダ</t>
    </rPh>
    <phoneticPr fontId="4"/>
  </si>
  <si>
    <t>電動弁</t>
    <rPh sb="0" eb="2">
      <t>デンドウ</t>
    </rPh>
    <rPh sb="2" eb="3">
      <t>ベン</t>
    </rPh>
    <phoneticPr fontId="4"/>
  </si>
  <si>
    <t>水道メーター</t>
    <rPh sb="0" eb="2">
      <t>スイドウ</t>
    </rPh>
    <phoneticPr fontId="4"/>
  </si>
  <si>
    <t>止水栓</t>
    <rPh sb="0" eb="2">
      <t>シスイ</t>
    </rPh>
    <rPh sb="2" eb="3">
      <t>セン</t>
    </rPh>
    <phoneticPr fontId="4"/>
  </si>
  <si>
    <t>分水栓</t>
    <rPh sb="0" eb="2">
      <t>ブンスイ</t>
    </rPh>
    <rPh sb="2" eb="3">
      <t>セン</t>
    </rPh>
    <phoneticPr fontId="4"/>
  </si>
  <si>
    <t>Yスト</t>
    <phoneticPr fontId="4"/>
  </si>
  <si>
    <t>流量（L/min)</t>
    <rPh sb="0" eb="2">
      <t>リュウリョウ</t>
    </rPh>
    <phoneticPr fontId="4"/>
  </si>
  <si>
    <t>電動弁(圧損m）</t>
    <rPh sb="0" eb="2">
      <t>デンドウ</t>
    </rPh>
    <rPh sb="2" eb="3">
      <t>ベン</t>
    </rPh>
    <rPh sb="4" eb="5">
      <t>アッ</t>
    </rPh>
    <rPh sb="5" eb="6">
      <t>ソン</t>
    </rPh>
    <phoneticPr fontId="4"/>
  </si>
  <si>
    <t>その他</t>
    <rPh sb="2" eb="3">
      <t>タ</t>
    </rPh>
    <phoneticPr fontId="4"/>
  </si>
  <si>
    <t>管径(A)</t>
    <rPh sb="0" eb="1">
      <t>カン</t>
    </rPh>
    <rPh sb="1" eb="2">
      <t>ケイ</t>
    </rPh>
    <phoneticPr fontId="4"/>
  </si>
  <si>
    <t>管径(A)</t>
    <phoneticPr fontId="4"/>
  </si>
  <si>
    <t>内径(cm)</t>
    <phoneticPr fontId="4"/>
  </si>
  <si>
    <t>水栓類等の等価管長</t>
    <rPh sb="0" eb="1">
      <t>スイ</t>
    </rPh>
    <rPh sb="1" eb="2">
      <t>セン</t>
    </rPh>
    <rPh sb="2" eb="3">
      <t>ルイ</t>
    </rPh>
    <rPh sb="3" eb="4">
      <t>ナド</t>
    </rPh>
    <rPh sb="5" eb="7">
      <t>トウカ</t>
    </rPh>
    <rPh sb="7" eb="9">
      <t>カンチョウ</t>
    </rPh>
    <phoneticPr fontId="4"/>
  </si>
  <si>
    <t>電動弁の圧力損失値</t>
    <rPh sb="0" eb="2">
      <t>デンドウ</t>
    </rPh>
    <rPh sb="2" eb="3">
      <t>ベン</t>
    </rPh>
    <rPh sb="4" eb="6">
      <t>アツリョク</t>
    </rPh>
    <rPh sb="6" eb="8">
      <t>ソンシツ</t>
    </rPh>
    <rPh sb="8" eb="9">
      <t>チ</t>
    </rPh>
    <phoneticPr fontId="4"/>
  </si>
  <si>
    <t>合計　</t>
    <rPh sb="0" eb="2">
      <t>ゴウケイ</t>
    </rPh>
    <phoneticPr fontId="4"/>
  </si>
  <si>
    <t>m</t>
    <phoneticPr fontId="4"/>
  </si>
  <si>
    <t>L/min</t>
    <phoneticPr fontId="4"/>
  </si>
  <si>
    <t>　流　量　Ａ</t>
    <rPh sb="1" eb="2">
      <t>リュウ</t>
    </rPh>
    <rPh sb="3" eb="4">
      <t>リョウ</t>
    </rPh>
    <phoneticPr fontId="4"/>
  </si>
  <si>
    <t>　流　量　Ｂ</t>
    <rPh sb="1" eb="2">
      <t>リュウ</t>
    </rPh>
    <rPh sb="3" eb="4">
      <t>リョウ</t>
    </rPh>
    <phoneticPr fontId="4"/>
  </si>
  <si>
    <t>放水試験圧力</t>
    <rPh sb="0" eb="2">
      <t>ホウスイ</t>
    </rPh>
    <rPh sb="2" eb="4">
      <t>シケン</t>
    </rPh>
    <rPh sb="4" eb="6">
      <t>アツリョク</t>
    </rPh>
    <phoneticPr fontId="4"/>
  </si>
  <si>
    <t>-</t>
    <phoneticPr fontId="4"/>
  </si>
  <si>
    <t>ステンレス鋼管</t>
    <rPh sb="5" eb="6">
      <t>コウ</t>
    </rPh>
    <rPh sb="6" eb="7">
      <t>カン</t>
    </rPh>
    <phoneticPr fontId="4"/>
  </si>
  <si>
    <t>( SUS )</t>
    <phoneticPr fontId="4"/>
  </si>
  <si>
    <t>ポリエチレン二層管</t>
    <rPh sb="6" eb="8">
      <t>ニソウ</t>
    </rPh>
    <rPh sb="8" eb="9">
      <t>カン</t>
    </rPh>
    <phoneticPr fontId="4"/>
  </si>
  <si>
    <t>SUS</t>
    <phoneticPr fontId="4"/>
  </si>
  <si>
    <t>PE</t>
    <phoneticPr fontId="4"/>
  </si>
  <si>
    <t>( PE、PP )</t>
    <phoneticPr fontId="4"/>
  </si>
  <si>
    <t>SUS</t>
    <phoneticPr fontId="4"/>
  </si>
  <si>
    <t>PE</t>
    <phoneticPr fontId="4"/>
  </si>
  <si>
    <t>HIVP</t>
  </si>
  <si>
    <t>件名</t>
    <rPh sb="0" eb="2">
      <t>ケンメイ</t>
    </rPh>
    <phoneticPr fontId="4"/>
  </si>
  <si>
    <t>※ヘッド数に対応する単位容量は、巻き出しフレキを設けた場合のもの</t>
    <rPh sb="4" eb="5">
      <t>スウ</t>
    </rPh>
    <rPh sb="6" eb="8">
      <t>タイオウ</t>
    </rPh>
    <rPh sb="10" eb="12">
      <t>タンイ</t>
    </rPh>
    <rPh sb="12" eb="14">
      <t>ヨウリョウ</t>
    </rPh>
    <rPh sb="16" eb="17">
      <t>マ</t>
    </rPh>
    <rPh sb="18" eb="19">
      <t>ダ</t>
    </rPh>
    <rPh sb="24" eb="25">
      <t>モウ</t>
    </rPh>
    <rPh sb="27" eb="29">
      <t>バアイ</t>
    </rPh>
    <phoneticPr fontId="3"/>
  </si>
  <si>
    <t>⇒値は、㈱テクノフレックス製 SP-2 (20A) 1100mm　の平均管内径より算出</t>
    <rPh sb="1" eb="2">
      <t>アタイ</t>
    </rPh>
    <rPh sb="13" eb="14">
      <t>セイ</t>
    </rPh>
    <rPh sb="34" eb="36">
      <t>ヘイキン</t>
    </rPh>
    <rPh sb="36" eb="38">
      <t>カンナイ</t>
    </rPh>
    <rPh sb="38" eb="39">
      <t>ケイ</t>
    </rPh>
    <rPh sb="41" eb="43">
      <t>サンシュツ</t>
    </rPh>
    <phoneticPr fontId="3"/>
  </si>
  <si>
    <t>呼称</t>
    <rPh sb="0" eb="2">
      <t>コショウ</t>
    </rPh>
    <phoneticPr fontId="4"/>
  </si>
  <si>
    <t>単位容積</t>
    <rPh sb="0" eb="2">
      <t>タンイ</t>
    </rPh>
    <rPh sb="2" eb="4">
      <t>ヨウセキ</t>
    </rPh>
    <phoneticPr fontId="4"/>
  </si>
  <si>
    <t>長さ</t>
    <rPh sb="0" eb="1">
      <t>ナガ</t>
    </rPh>
    <phoneticPr fontId="4"/>
  </si>
  <si>
    <t>HIVP</t>
    <phoneticPr fontId="4"/>
  </si>
  <si>
    <t>13A</t>
    <phoneticPr fontId="4"/>
  </si>
  <si>
    <t>16A</t>
    <phoneticPr fontId="4"/>
  </si>
  <si>
    <t>20A</t>
    <phoneticPr fontId="4"/>
  </si>
  <si>
    <t>25A</t>
    <phoneticPr fontId="4"/>
  </si>
  <si>
    <t>30A</t>
    <phoneticPr fontId="4"/>
  </si>
  <si>
    <t>40A</t>
    <phoneticPr fontId="4"/>
  </si>
  <si>
    <t>50A</t>
    <phoneticPr fontId="4"/>
  </si>
  <si>
    <t>65A</t>
    <phoneticPr fontId="4"/>
  </si>
  <si>
    <t>75A</t>
    <phoneticPr fontId="4"/>
  </si>
  <si>
    <t>100A</t>
    <phoneticPr fontId="4"/>
  </si>
  <si>
    <t>125A</t>
    <phoneticPr fontId="4"/>
  </si>
  <si>
    <t>SGP-VB</t>
    <phoneticPr fontId="4"/>
  </si>
  <si>
    <t>15A</t>
    <phoneticPr fontId="4"/>
  </si>
  <si>
    <t>32A</t>
    <phoneticPr fontId="4"/>
  </si>
  <si>
    <t>80A</t>
    <phoneticPr fontId="4"/>
  </si>
  <si>
    <t>150A</t>
    <phoneticPr fontId="4"/>
  </si>
  <si>
    <t>200A</t>
    <phoneticPr fontId="4"/>
  </si>
  <si>
    <t>SGP-PB</t>
    <phoneticPr fontId="4"/>
  </si>
  <si>
    <t>SGP</t>
    <phoneticPr fontId="4"/>
  </si>
  <si>
    <t>SUS</t>
    <phoneticPr fontId="4"/>
  </si>
  <si>
    <t>ヘッド数</t>
    <rPh sb="3" eb="4">
      <t>スウ</t>
    </rPh>
    <phoneticPr fontId="4"/>
  </si>
  <si>
    <t>単位容量</t>
    <rPh sb="0" eb="2">
      <t>タンイ</t>
    </rPh>
    <rPh sb="2" eb="4">
      <t>ヨウリョウ</t>
    </rPh>
    <phoneticPr fontId="4"/>
  </si>
  <si>
    <r>
      <t>計(</t>
    </r>
    <r>
      <rPr>
        <sz val="11"/>
        <rFont val="ＭＳ Ｐゴシック"/>
        <family val="3"/>
        <charset val="128"/>
      </rPr>
      <t>L)</t>
    </r>
    <rPh sb="0" eb="1">
      <t>ケイ</t>
    </rPh>
    <phoneticPr fontId="4"/>
  </si>
  <si>
    <t>階・系統</t>
    <rPh sb="0" eb="1">
      <t>カイ</t>
    </rPh>
    <rPh sb="2" eb="4">
      <t>ケイトウ</t>
    </rPh>
    <phoneticPr fontId="4"/>
  </si>
  <si>
    <t>流量Ａ</t>
    <rPh sb="0" eb="2">
      <t>リュウリョウ</t>
    </rPh>
    <phoneticPr fontId="4"/>
  </si>
  <si>
    <t>流量Ｂ</t>
    <rPh sb="0" eb="2">
      <t>リュウリョウ</t>
    </rPh>
    <phoneticPr fontId="4"/>
  </si>
  <si>
    <t>流量Ａ</t>
    <rPh sb="0" eb="2">
      <t>リュウリョウ</t>
    </rPh>
    <phoneticPr fontId="3"/>
  </si>
  <si>
    <t>流量Ｂ</t>
    <rPh sb="0" eb="2">
      <t>リュウリョウ</t>
    </rPh>
    <phoneticPr fontId="3"/>
  </si>
  <si>
    <t>配管種類</t>
    <rPh sb="0" eb="2">
      <t>ハイカン</t>
    </rPh>
    <rPh sb="2" eb="4">
      <t>シュルイ</t>
    </rPh>
    <phoneticPr fontId="4"/>
  </si>
  <si>
    <t>サイズ</t>
    <phoneticPr fontId="4"/>
  </si>
  <si>
    <t>単位内容積（Ｌ／ｍ）</t>
    <rPh sb="0" eb="2">
      <t>タンイ</t>
    </rPh>
    <rPh sb="2" eb="3">
      <t>ナイ</t>
    </rPh>
    <rPh sb="3" eb="5">
      <t>ヨウセキ</t>
    </rPh>
    <phoneticPr fontId="4"/>
  </si>
  <si>
    <t>水道用硬質ポリ塩化ビニル管</t>
    <rPh sb="0" eb="3">
      <t>スイドウヨウ</t>
    </rPh>
    <rPh sb="3" eb="5">
      <t>コウシツ</t>
    </rPh>
    <rPh sb="7" eb="9">
      <t>エンカ</t>
    </rPh>
    <rPh sb="12" eb="13">
      <t>カン</t>
    </rPh>
    <phoneticPr fontId="4"/>
  </si>
  <si>
    <t>硬質塩化ビニルライニング鋼管</t>
    <rPh sb="0" eb="2">
      <t>コウシツ</t>
    </rPh>
    <rPh sb="2" eb="4">
      <t>エンカ</t>
    </rPh>
    <rPh sb="12" eb="14">
      <t>コウカン</t>
    </rPh>
    <phoneticPr fontId="4"/>
  </si>
  <si>
    <t>ポリエチレン粉体ライニング鋼管</t>
    <rPh sb="6" eb="7">
      <t>フン</t>
    </rPh>
    <rPh sb="7" eb="8">
      <t>タイ</t>
    </rPh>
    <rPh sb="13" eb="15">
      <t>コウカン</t>
    </rPh>
    <phoneticPr fontId="4"/>
  </si>
  <si>
    <t>配管用炭素鋼鋼管</t>
    <rPh sb="0" eb="3">
      <t>ハイカンヨウ</t>
    </rPh>
    <rPh sb="3" eb="5">
      <t>タンソ</t>
    </rPh>
    <rPh sb="5" eb="6">
      <t>コウ</t>
    </rPh>
    <rPh sb="6" eb="7">
      <t>コウ</t>
    </rPh>
    <rPh sb="7" eb="8">
      <t>カン</t>
    </rPh>
    <phoneticPr fontId="4"/>
  </si>
  <si>
    <t>水道用ステンレス鋼管</t>
    <rPh sb="0" eb="3">
      <t>スイドウヨウ</t>
    </rPh>
    <rPh sb="8" eb="9">
      <t>コウ</t>
    </rPh>
    <rPh sb="9" eb="10">
      <t>カン</t>
    </rPh>
    <phoneticPr fontId="4"/>
  </si>
  <si>
    <t>ｍ</t>
    <phoneticPr fontId="4"/>
  </si>
  <si>
    <t>・・・（ア）</t>
    <phoneticPr fontId="4"/>
  </si>
  <si>
    <t>・・・（イ）</t>
    <phoneticPr fontId="4"/>
  </si>
  <si>
    <t>（ア）から自動算出⇒</t>
    <rPh sb="5" eb="7">
      <t>ジドウ</t>
    </rPh>
    <rPh sb="7" eb="9">
      <t>サンシュツ</t>
    </rPh>
    <phoneticPr fontId="4"/>
  </si>
  <si>
    <t>（イ）から自動算出⇒</t>
    <rPh sb="5" eb="7">
      <t>ジドウ</t>
    </rPh>
    <rPh sb="7" eb="9">
      <t>サンシュツ</t>
    </rPh>
    <phoneticPr fontId="4"/>
  </si>
  <si>
    <t>荏原</t>
    <rPh sb="0" eb="2">
      <t>エバラ</t>
    </rPh>
    <phoneticPr fontId="4"/>
  </si>
  <si>
    <t>川本</t>
    <rPh sb="0" eb="2">
      <t>カワモト</t>
    </rPh>
    <phoneticPr fontId="4"/>
  </si>
  <si>
    <t>テラル</t>
    <phoneticPr fontId="4"/>
  </si>
  <si>
    <t>40L-5.5m,100L-6.2m,200L-7.2m</t>
    <phoneticPr fontId="4"/>
  </si>
  <si>
    <t>25L-5.5m,100L-6.3m,150L-7.0m,200L-8.0m</t>
    <phoneticPr fontId="4"/>
  </si>
  <si>
    <t>8L-5.6m,17L-5.9m,135L-6.3m,200L-7.4m</t>
    <phoneticPr fontId="4"/>
  </si>
  <si>
    <t>8L-5.6m,10L-5.9m,17L-6.0m,50L-6.3m,150L-6.6m,200L-6.8m</t>
    <phoneticPr fontId="4"/>
  </si>
  <si>
    <t>10L-5.5m,68L-6.2m,138L-6.6m,200L-6.7m</t>
    <phoneticPr fontId="4"/>
  </si>
  <si>
    <t>40L-5.5m,100L-6.2m,200L-7.2m</t>
    <phoneticPr fontId="4"/>
  </si>
  <si>
    <t>50L-5.9m,100L-6.0m,200L-6.5m</t>
    <phoneticPr fontId="4"/>
  </si>
  <si>
    <t>0L-5.9m,25L-6.7m,50L-7.1m,70L-7.2m,100L-7.1m,150L-7.5m,200L-8.2m</t>
    <phoneticPr fontId="4"/>
  </si>
  <si>
    <t>0L-5.8m,25L-6.5m,50L-6.9m,75L-7.2m,100L-7.3m,120L-7.3m,160L-7.1m,200L-7.4m</t>
    <phoneticPr fontId="4"/>
  </si>
  <si>
    <t>0L-5.6m,100L,6.35m,200L-6.5m</t>
    <phoneticPr fontId="4"/>
  </si>
  <si>
    <t>8L-5.6m,17L-5.9m,135L-6.3m,200L-7.4m</t>
    <phoneticPr fontId="4"/>
  </si>
  <si>
    <t>8L-5.6m,10L-5.9m,17L-6.0m,50L-6.3m,150L-6.6m,200L-6.8m</t>
    <phoneticPr fontId="4"/>
  </si>
  <si>
    <t>10L-5.5m,68L-6.2m,138L-6.6m,200L-6.7m</t>
    <phoneticPr fontId="4"/>
  </si>
  <si>
    <t>逆流防止装置の圧力損失</t>
    <rPh sb="0" eb="2">
      <t>ギャクリュウ</t>
    </rPh>
    <rPh sb="2" eb="4">
      <t>ボウシ</t>
    </rPh>
    <rPh sb="4" eb="6">
      <t>ソウチ</t>
    </rPh>
    <rPh sb="7" eb="9">
      <t>アツリョク</t>
    </rPh>
    <rPh sb="9" eb="11">
      <t>ソンシツ</t>
    </rPh>
    <phoneticPr fontId="4"/>
  </si>
  <si>
    <t>区画</t>
    <rPh sb="0" eb="2">
      <t>クカク</t>
    </rPh>
    <phoneticPr fontId="4"/>
  </si>
  <si>
    <t>①－②</t>
    <phoneticPr fontId="4"/>
  </si>
  <si>
    <t>②－③</t>
    <phoneticPr fontId="4"/>
  </si>
  <si>
    <t>③－④</t>
    <phoneticPr fontId="4"/>
  </si>
  <si>
    <t>④－⑤</t>
    <phoneticPr fontId="4"/>
  </si>
  <si>
    <t>⑤－⑥</t>
    <phoneticPr fontId="4"/>
  </si>
  <si>
    <t>⑥－⑦</t>
    <phoneticPr fontId="4"/>
  </si>
  <si>
    <t>⑦－⑧</t>
    <phoneticPr fontId="4"/>
  </si>
  <si>
    <t>⑧－⑨</t>
    <phoneticPr fontId="4"/>
  </si>
  <si>
    <t>⑨－⑩</t>
    <phoneticPr fontId="4"/>
  </si>
  <si>
    <t>⑩－⑪</t>
    <phoneticPr fontId="4"/>
  </si>
  <si>
    <t>⑪－⑫</t>
    <phoneticPr fontId="4"/>
  </si>
  <si>
    <t>逆流防止装置E</t>
    <rPh sb="0" eb="2">
      <t>ギャクリュウ</t>
    </rPh>
    <rPh sb="2" eb="4">
      <t>ボウシ</t>
    </rPh>
    <rPh sb="4" eb="6">
      <t>ソウチ</t>
    </rPh>
    <phoneticPr fontId="4"/>
  </si>
  <si>
    <t>逆流防止装置K</t>
    <rPh sb="0" eb="2">
      <t>ギャクリュウ</t>
    </rPh>
    <rPh sb="2" eb="4">
      <t>ボウシ</t>
    </rPh>
    <rPh sb="4" eb="6">
      <t>ソウチ</t>
    </rPh>
    <phoneticPr fontId="4"/>
  </si>
  <si>
    <t>逆流防止装置T</t>
    <rPh sb="0" eb="2">
      <t>ギャクリュウ</t>
    </rPh>
    <rPh sb="2" eb="4">
      <t>ボウシ</t>
    </rPh>
    <rPh sb="4" eb="6">
      <t>ソウチ</t>
    </rPh>
    <phoneticPr fontId="4"/>
  </si>
  <si>
    <r>
      <t>M</t>
    </r>
    <r>
      <rPr>
        <sz val="11"/>
        <rFont val="ＭＳ Ｐゴシック"/>
        <family val="3"/>
        <charset val="128"/>
      </rPr>
      <t>Pa</t>
    </r>
    <phoneticPr fontId="4"/>
  </si>
  <si>
    <t>MPa</t>
    <phoneticPr fontId="4"/>
  </si>
  <si>
    <t>(L/m)</t>
    <phoneticPr fontId="4"/>
  </si>
  <si>
    <r>
      <t>(</t>
    </r>
    <r>
      <rPr>
        <sz val="11"/>
        <rFont val="ＭＳ Ｐゴシック"/>
        <family val="3"/>
        <charset val="128"/>
      </rPr>
      <t>m)</t>
    </r>
    <phoneticPr fontId="4"/>
  </si>
  <si>
    <t>(L)</t>
    <phoneticPr fontId="4"/>
  </si>
  <si>
    <t>落差①</t>
    <rPh sb="0" eb="2">
      <t>ラクサ</t>
    </rPh>
    <phoneticPr fontId="4"/>
  </si>
  <si>
    <t>落差②</t>
    <rPh sb="0" eb="2">
      <t>ラクサ</t>
    </rPh>
    <phoneticPr fontId="4"/>
  </si>
  <si>
    <t>給水方式と落差</t>
    <rPh sb="0" eb="2">
      <t>キュウスイ</t>
    </rPh>
    <rPh sb="2" eb="4">
      <t>ホウシキ</t>
    </rPh>
    <rPh sb="5" eb="7">
      <t>ラクサ</t>
    </rPh>
    <phoneticPr fontId="4"/>
  </si>
  <si>
    <t>水道から直接給水</t>
    <phoneticPr fontId="4"/>
  </si>
  <si>
    <t>水道用ブースターポンプを設置</t>
    <phoneticPr fontId="4"/>
  </si>
  <si>
    <t>落差③（落差①＋落差②）</t>
    <rPh sb="0" eb="2">
      <t>ラクサ</t>
    </rPh>
    <phoneticPr fontId="4"/>
  </si>
  <si>
    <t>専用の消火ポンプを設置</t>
    <rPh sb="0" eb="2">
      <t>センヨウ</t>
    </rPh>
    <rPh sb="9" eb="11">
      <t>セッチ</t>
    </rPh>
    <phoneticPr fontId="4"/>
  </si>
  <si>
    <t>管種</t>
    <rPh sb="0" eb="1">
      <t>カン</t>
    </rPh>
    <rPh sb="1" eb="2">
      <t>シュ</t>
    </rPh>
    <phoneticPr fontId="4"/>
  </si>
  <si>
    <t>参考図面</t>
  </si>
  <si>
    <t>2階－電動弁A</t>
  </si>
  <si>
    <t>水道用硬質ポリ塩化ビニル管</t>
  </si>
  <si>
    <t>E９０°</t>
  </si>
  <si>
    <t>①－②</t>
  </si>
  <si>
    <t>Ｔ直</t>
  </si>
  <si>
    <t>Ｔ分</t>
  </si>
  <si>
    <t>②－③</t>
  </si>
  <si>
    <t>③－④</t>
  </si>
  <si>
    <t>④－⑤</t>
  </si>
  <si>
    <t/>
  </si>
  <si>
    <t>MPa</t>
  </si>
  <si>
    <t>⑤－⑥</t>
  </si>
  <si>
    <t>⑥配管摩擦損失計算書（放水試験圧力）</t>
    <phoneticPr fontId="4"/>
  </si>
  <si>
    <t>１．本システムの配管摩擦損失計算について</t>
    <rPh sb="2" eb="3">
      <t>ホン</t>
    </rPh>
    <rPh sb="8" eb="10">
      <t>ハイカン</t>
    </rPh>
    <rPh sb="10" eb="12">
      <t>マサツ</t>
    </rPh>
    <rPh sb="12" eb="14">
      <t>ソンシツ</t>
    </rPh>
    <rPh sb="14" eb="16">
      <t>ケイサン</t>
    </rPh>
    <phoneticPr fontId="4"/>
  </si>
  <si>
    <t>MPa</t>
    <phoneticPr fontId="4"/>
  </si>
  <si>
    <t>各計算書の計算結果</t>
    <rPh sb="0" eb="1">
      <t>カク</t>
    </rPh>
    <rPh sb="1" eb="4">
      <t>ケイサンショ</t>
    </rPh>
    <rPh sb="5" eb="7">
      <t>ケイサン</t>
    </rPh>
    <rPh sb="7" eb="9">
      <t>ケッカ</t>
    </rPh>
    <phoneticPr fontId="4"/>
  </si>
  <si>
    <t>テスト弁で放水試験を行った際の圧力値が</t>
    <rPh sb="3" eb="4">
      <t>ベン</t>
    </rPh>
    <rPh sb="5" eb="7">
      <t>ホウスイ</t>
    </rPh>
    <rPh sb="7" eb="9">
      <t>シケン</t>
    </rPh>
    <rPh sb="10" eb="11">
      <t>オコナ</t>
    </rPh>
    <rPh sb="13" eb="14">
      <t>サイ</t>
    </rPh>
    <rPh sb="15" eb="17">
      <t>アツリョク</t>
    </rPh>
    <rPh sb="17" eb="18">
      <t>チ</t>
    </rPh>
    <phoneticPr fontId="4"/>
  </si>
  <si>
    <t>MPa以上であることを確認します。</t>
    <rPh sb="3" eb="5">
      <t>イジョウ</t>
    </rPh>
    <rPh sb="11" eb="13">
      <t>カクニン</t>
    </rPh>
    <phoneticPr fontId="4"/>
  </si>
  <si>
    <t>⑥放水試験圧力の確認</t>
    <rPh sb="1" eb="3">
      <t>ホウスイ</t>
    </rPh>
    <rPh sb="3" eb="5">
      <t>シケン</t>
    </rPh>
    <rPh sb="5" eb="7">
      <t>アツリョク</t>
    </rPh>
    <rPh sb="8" eb="10">
      <t>カクニン</t>
    </rPh>
    <phoneticPr fontId="4"/>
  </si>
  <si>
    <t>２．各計算書について</t>
    <rPh sb="2" eb="3">
      <t>カク</t>
    </rPh>
    <rPh sb="3" eb="6">
      <t>ケイサンショ</t>
    </rPh>
    <phoneticPr fontId="4"/>
  </si>
  <si>
    <t>⑥配管摩擦損失計算書（放水試験圧力）</t>
    <rPh sb="1" eb="3">
      <t>ハイカン</t>
    </rPh>
    <rPh sb="3" eb="5">
      <t>マサツ</t>
    </rPh>
    <rPh sb="5" eb="7">
      <t>ソンシツ</t>
    </rPh>
    <rPh sb="7" eb="9">
      <t>ケイサン</t>
    </rPh>
    <rPh sb="9" eb="10">
      <t>ショ</t>
    </rPh>
    <rPh sb="11" eb="13">
      <t>ホウスイ</t>
    </rPh>
    <rPh sb="13" eb="15">
      <t>シケン</t>
    </rPh>
    <rPh sb="15" eb="17">
      <t>アツリョク</t>
    </rPh>
    <phoneticPr fontId="4"/>
  </si>
  <si>
    <t>　特定施設水道連結型スプリンクラー設備（乾式）は、日本消防検定協会の特定機器評価（特評第240号）を
取得したシステムです。
　本システムでは、法令の基準によるほか、特定機器評価の条件による配管摩擦損失計算が必要となります。</t>
    <rPh sb="1" eb="3">
      <t>トクテイ</t>
    </rPh>
    <rPh sb="3" eb="5">
      <t>シセツ</t>
    </rPh>
    <rPh sb="5" eb="7">
      <t>スイドウ</t>
    </rPh>
    <rPh sb="7" eb="10">
      <t>レンケツガタ</t>
    </rPh>
    <rPh sb="17" eb="19">
      <t>セツビ</t>
    </rPh>
    <rPh sb="20" eb="22">
      <t>カンシキ</t>
    </rPh>
    <rPh sb="25" eb="27">
      <t>ニホン</t>
    </rPh>
    <rPh sb="27" eb="29">
      <t>ショウボウ</t>
    </rPh>
    <rPh sb="29" eb="31">
      <t>ケンテイ</t>
    </rPh>
    <rPh sb="31" eb="33">
      <t>キョウカイ</t>
    </rPh>
    <rPh sb="34" eb="36">
      <t>トクテイ</t>
    </rPh>
    <rPh sb="36" eb="38">
      <t>キキ</t>
    </rPh>
    <rPh sb="38" eb="40">
      <t>ヒョウカ</t>
    </rPh>
    <rPh sb="41" eb="42">
      <t>トク</t>
    </rPh>
    <rPh sb="42" eb="43">
      <t>ヒョウ</t>
    </rPh>
    <rPh sb="43" eb="44">
      <t>ダイ</t>
    </rPh>
    <rPh sb="47" eb="48">
      <t>ゴウ</t>
    </rPh>
    <rPh sb="51" eb="53">
      <t>シュトク</t>
    </rPh>
    <rPh sb="64" eb="65">
      <t>ホン</t>
    </rPh>
    <rPh sb="72" eb="74">
      <t>ホウレイ</t>
    </rPh>
    <rPh sb="75" eb="77">
      <t>キジュン</t>
    </rPh>
    <rPh sb="83" eb="85">
      <t>トクテイ</t>
    </rPh>
    <rPh sb="85" eb="87">
      <t>キキ</t>
    </rPh>
    <rPh sb="87" eb="89">
      <t>ヒョウカ</t>
    </rPh>
    <rPh sb="90" eb="92">
      <t>ジョウケン</t>
    </rPh>
    <rPh sb="95" eb="97">
      <t>ハイカン</t>
    </rPh>
    <rPh sb="97" eb="99">
      <t>マサツ</t>
    </rPh>
    <rPh sb="99" eb="101">
      <t>ソンシツ</t>
    </rPh>
    <rPh sb="101" eb="103">
      <t>ケイサン</t>
    </rPh>
    <rPh sb="104" eb="106">
      <t>ヒツヨウ</t>
    </rPh>
    <phoneticPr fontId="4"/>
  </si>
  <si>
    <t>特定施設水道連結型スプリンクラー設備（乾式）　配管摩擦損失計算書</t>
    <rPh sb="0" eb="2">
      <t>トクテイ</t>
    </rPh>
    <rPh sb="2" eb="4">
      <t>シセツ</t>
    </rPh>
    <rPh sb="4" eb="6">
      <t>スイドウ</t>
    </rPh>
    <rPh sb="6" eb="9">
      <t>レンケツガタ</t>
    </rPh>
    <rPh sb="16" eb="18">
      <t>セツビ</t>
    </rPh>
    <rPh sb="19" eb="21">
      <t>カンシキ</t>
    </rPh>
    <phoneticPr fontId="4"/>
  </si>
  <si>
    <t>②配管摩擦損失計算書（流量Ａ）</t>
    <rPh sb="11" eb="13">
      <t>リュウリョウ</t>
    </rPh>
    <phoneticPr fontId="4"/>
  </si>
  <si>
    <t>③配管摩擦損失計算書（流量Ｂ）</t>
    <rPh sb="11" eb="13">
      <t>リュウリョウ</t>
    </rPh>
    <phoneticPr fontId="4"/>
  </si>
  <si>
    <t>④配管摩擦損失計算書（１個放水）</t>
    <rPh sb="12" eb="13">
      <t>コ</t>
    </rPh>
    <rPh sb="13" eb="15">
      <t>ホウスイ</t>
    </rPh>
    <phoneticPr fontId="4"/>
  </si>
  <si>
    <t>⑤配管摩擦損失計算書（最大４個放水）</t>
    <rPh sb="11" eb="13">
      <t>サイダイ</t>
    </rPh>
    <rPh sb="14" eb="15">
      <t>コ</t>
    </rPh>
    <rPh sb="15" eb="17">
      <t>ホウスイ</t>
    </rPh>
    <phoneticPr fontId="4"/>
  </si>
  <si>
    <t>※①、②、③及び④は、特定機器評価の条件による計算書です。</t>
    <rPh sb="6" eb="7">
      <t>オヨ</t>
    </rPh>
    <rPh sb="11" eb="13">
      <t>トクテイ</t>
    </rPh>
    <rPh sb="13" eb="15">
      <t>キキ</t>
    </rPh>
    <rPh sb="15" eb="17">
      <t>ヒョウカ</t>
    </rPh>
    <rPh sb="18" eb="20">
      <t>ジョウケン</t>
    </rPh>
    <rPh sb="23" eb="26">
      <t>ケイサンショ</t>
    </rPh>
    <phoneticPr fontId="4"/>
  </si>
  <si>
    <t>②配管摩擦損失計算書（流量Ａ）</t>
    <rPh sb="1" eb="3">
      <t>ハイカン</t>
    </rPh>
    <rPh sb="3" eb="5">
      <t>マサツ</t>
    </rPh>
    <rPh sb="5" eb="7">
      <t>ソンシツ</t>
    </rPh>
    <rPh sb="7" eb="9">
      <t>ケイサン</t>
    </rPh>
    <rPh sb="9" eb="10">
      <t>ショ</t>
    </rPh>
    <rPh sb="11" eb="13">
      <t>リュウリョウ</t>
    </rPh>
    <phoneticPr fontId="4"/>
  </si>
  <si>
    <t>③配管摩擦損失計算書（流量Ｂ）</t>
    <rPh sb="1" eb="3">
      <t>ハイカン</t>
    </rPh>
    <rPh sb="3" eb="5">
      <t>マサツ</t>
    </rPh>
    <rPh sb="5" eb="7">
      <t>ソンシツ</t>
    </rPh>
    <rPh sb="7" eb="9">
      <t>ケイサン</t>
    </rPh>
    <rPh sb="9" eb="10">
      <t>ショ</t>
    </rPh>
    <rPh sb="11" eb="13">
      <t>リュウリョウ</t>
    </rPh>
    <phoneticPr fontId="4"/>
  </si>
  <si>
    <t>④配管摩擦損失計算書（末端1個放水）</t>
    <rPh sb="1" eb="3">
      <t>ハイカン</t>
    </rPh>
    <rPh sb="3" eb="5">
      <t>マサツ</t>
    </rPh>
    <rPh sb="5" eb="7">
      <t>ソンシツ</t>
    </rPh>
    <rPh sb="7" eb="9">
      <t>ケイサン</t>
    </rPh>
    <rPh sb="9" eb="10">
      <t>ショ</t>
    </rPh>
    <rPh sb="11" eb="13">
      <t>マッタン</t>
    </rPh>
    <rPh sb="14" eb="15">
      <t>コ</t>
    </rPh>
    <rPh sb="15" eb="17">
      <t>ホウスイ</t>
    </rPh>
    <phoneticPr fontId="4"/>
  </si>
  <si>
    <t>⑤配管摩擦損失計算書（4個同時放水）</t>
    <rPh sb="1" eb="3">
      <t>ハイカン</t>
    </rPh>
    <rPh sb="3" eb="5">
      <t>マサツ</t>
    </rPh>
    <rPh sb="5" eb="7">
      <t>ソンシツ</t>
    </rPh>
    <rPh sb="7" eb="9">
      <t>ケイサン</t>
    </rPh>
    <rPh sb="9" eb="10">
      <t>ショ</t>
    </rPh>
    <rPh sb="12" eb="13">
      <t>コ</t>
    </rPh>
    <rPh sb="13" eb="15">
      <t>ドウジ</t>
    </rPh>
    <rPh sb="15" eb="17">
      <t>ホウスイ</t>
    </rPh>
    <phoneticPr fontId="4"/>
  </si>
  <si>
    <t>①配管容量及び計算結果</t>
    <rPh sb="1" eb="3">
      <t>ハイカン</t>
    </rPh>
    <rPh sb="3" eb="5">
      <t>ヨウリョウ</t>
    </rPh>
    <rPh sb="5" eb="6">
      <t>オヨ</t>
    </rPh>
    <rPh sb="7" eb="9">
      <t>ケイサン</t>
    </rPh>
    <rPh sb="9" eb="11">
      <t>ケッカ</t>
    </rPh>
    <phoneticPr fontId="4"/>
  </si>
  <si>
    <t>配管容量及び流量Ａ、Ｂの算出</t>
    <rPh sb="0" eb="2">
      <t>ハイカン</t>
    </rPh>
    <rPh sb="2" eb="4">
      <t>ヨウリョウ</t>
    </rPh>
    <rPh sb="4" eb="5">
      <t>オヨ</t>
    </rPh>
    <rPh sb="6" eb="8">
      <t>リュウリョウ</t>
    </rPh>
    <rPh sb="12" eb="14">
      <t>サンシュツ</t>
    </rPh>
    <phoneticPr fontId="4"/>
  </si>
  <si>
    <t>配管容量</t>
    <rPh sb="0" eb="2">
      <t>ハイカン</t>
    </rPh>
    <rPh sb="2" eb="4">
      <t>ヨウリョウ</t>
    </rPh>
    <phoneticPr fontId="4"/>
  </si>
  <si>
    <t>総容量</t>
    <rPh sb="0" eb="1">
      <t>ソウ</t>
    </rPh>
    <rPh sb="1" eb="3">
      <t>ヨウリョウ</t>
    </rPh>
    <phoneticPr fontId="3"/>
  </si>
  <si>
    <t>最遠ヘッドまでの容量</t>
    <rPh sb="0" eb="1">
      <t>サイ</t>
    </rPh>
    <rPh sb="1" eb="2">
      <t>エン</t>
    </rPh>
    <rPh sb="8" eb="10">
      <t>ヨウリョウ</t>
    </rPh>
    <phoneticPr fontId="3"/>
  </si>
  <si>
    <t>×1.1</t>
    <phoneticPr fontId="3"/>
  </si>
  <si>
    <t>×2.0</t>
    <phoneticPr fontId="3"/>
  </si>
  <si>
    <t>【判定】
配管容量</t>
    <rPh sb="1" eb="3">
      <t>ハンテイ</t>
    </rPh>
    <rPh sb="5" eb="7">
      <t>ハイカン</t>
    </rPh>
    <rPh sb="7" eb="9">
      <t>ヨウリョウ</t>
    </rPh>
    <phoneticPr fontId="4"/>
  </si>
  <si>
    <t>MPa以上の給水圧力が必要です。</t>
    <rPh sb="3" eb="5">
      <t>イジョウ</t>
    </rPh>
    <rPh sb="11" eb="13">
      <t>ヒツヨウ</t>
    </rPh>
    <phoneticPr fontId="4"/>
  </si>
  <si>
    <t>逆流防止装置E</t>
    <phoneticPr fontId="4"/>
  </si>
  <si>
    <t>仕切弁</t>
    <phoneticPr fontId="4"/>
  </si>
  <si>
    <t>系統</t>
    <rPh sb="0" eb="2">
      <t>ケイトウ</t>
    </rPh>
    <phoneticPr fontId="4"/>
  </si>
  <si>
    <t>　　　　(水道用ブースターポンプを設置する方式）</t>
    <rPh sb="5" eb="7">
      <t>スイドウ</t>
    </rPh>
    <rPh sb="7" eb="8">
      <t>ヨウ</t>
    </rPh>
    <rPh sb="17" eb="19">
      <t>セッチ</t>
    </rPh>
    <rPh sb="21" eb="23">
      <t>ホウシキ</t>
    </rPh>
    <phoneticPr fontId="4"/>
  </si>
  <si>
    <t>①電動弁二次側の配管内容量の算出、及び流量Ａ・Ｂの算出</t>
    <rPh sb="1" eb="3">
      <t>デンドウ</t>
    </rPh>
    <rPh sb="3" eb="4">
      <t>ベン</t>
    </rPh>
    <rPh sb="4" eb="6">
      <t>２ジ</t>
    </rPh>
    <rPh sb="6" eb="7">
      <t>ガワ</t>
    </rPh>
    <rPh sb="8" eb="10">
      <t>ハイカン</t>
    </rPh>
    <rPh sb="10" eb="11">
      <t>ナイ</t>
    </rPh>
    <rPh sb="11" eb="13">
      <t>ヨウリョウ</t>
    </rPh>
    <rPh sb="14" eb="16">
      <t>サンシュツ</t>
    </rPh>
    <rPh sb="17" eb="18">
      <t>オヨ</t>
    </rPh>
    <rPh sb="19" eb="21">
      <t>リュウリョウ</t>
    </rPh>
    <rPh sb="25" eb="27">
      <t>サンシュツ</t>
    </rPh>
    <phoneticPr fontId="4"/>
  </si>
  <si>
    <r>
      <t xml:space="preserve"> 
  </t>
    </r>
    <r>
      <rPr>
        <sz val="10"/>
        <rFont val="ＭＳ Ｐゴシック"/>
        <family val="3"/>
        <charset val="128"/>
      </rPr>
      <t>本システムは「乾式配管」のため、配管充水による放水遅れを考慮することから、電動弁2次側の配管内容量に応じて計算条件が変わります。よって配管内容量と計算書②、③の条件（流量Ａ、流量Ｂ）を算出します。
【配管容量の算出】
　総配管内容量と最遠ヘッドまでの配管内容量を算出します。
【流量Ａ・流量Ｂの算出】
　</t>
    </r>
    <r>
      <rPr>
        <u/>
        <sz val="10"/>
        <rFont val="ＭＳ Ｐゴシック"/>
        <family val="3"/>
        <charset val="128"/>
      </rPr>
      <t>総配管内容量</t>
    </r>
    <r>
      <rPr>
        <sz val="10"/>
        <rFont val="ＭＳ Ｐゴシック"/>
        <family val="3"/>
        <charset val="128"/>
      </rPr>
      <t>と最遠</t>
    </r>
    <r>
      <rPr>
        <u/>
        <sz val="10"/>
        <rFont val="ＭＳ Ｐゴシック"/>
        <family val="3"/>
        <charset val="128"/>
      </rPr>
      <t>ヘッドまでの配管内容量の２倍の量</t>
    </r>
    <r>
      <rPr>
        <sz val="10"/>
        <rFont val="ＭＳ Ｐゴシック"/>
        <family val="3"/>
        <charset val="128"/>
      </rPr>
      <t>を比較し、より大きいほうの容量と配管の材質により、下のグラフより読み取ります。</t>
    </r>
    <rPh sb="11" eb="13">
      <t>カンシキ</t>
    </rPh>
    <rPh sb="13" eb="15">
      <t>ハイカン</t>
    </rPh>
    <rPh sb="20" eb="22">
      <t>ハイカン</t>
    </rPh>
    <rPh sb="22" eb="24">
      <t>ジュウスイ</t>
    </rPh>
    <rPh sb="27" eb="29">
      <t>ホウスイ</t>
    </rPh>
    <rPh sb="29" eb="30">
      <t>オク</t>
    </rPh>
    <rPh sb="32" eb="34">
      <t>コウリョ</t>
    </rPh>
    <rPh sb="41" eb="42">
      <t>デン</t>
    </rPh>
    <rPh sb="50" eb="51">
      <t>ナイ</t>
    </rPh>
    <rPh sb="51" eb="53">
      <t>ヨウリョウ</t>
    </rPh>
    <rPh sb="62" eb="63">
      <t>カ</t>
    </rPh>
    <rPh sb="71" eb="73">
      <t>ハイカン</t>
    </rPh>
    <rPh sb="73" eb="74">
      <t>ナイ</t>
    </rPh>
    <rPh sb="74" eb="76">
      <t>ヨウリョウ</t>
    </rPh>
    <rPh sb="87" eb="89">
      <t>リュウリョウ</t>
    </rPh>
    <rPh sb="91" eb="93">
      <t>リュウリョウ</t>
    </rPh>
    <rPh sb="96" eb="98">
      <t>サンシュツ</t>
    </rPh>
    <rPh sb="105" eb="107">
      <t>ハイカン</t>
    </rPh>
    <rPh sb="107" eb="109">
      <t>ヨウリョウ</t>
    </rPh>
    <rPh sb="110" eb="112">
      <t>サンシュツ</t>
    </rPh>
    <rPh sb="115" eb="116">
      <t>ソウ</t>
    </rPh>
    <rPh sb="116" eb="118">
      <t>ハイカン</t>
    </rPh>
    <rPh sb="118" eb="119">
      <t>ナイ</t>
    </rPh>
    <rPh sb="119" eb="121">
      <t>ヨウリョウ</t>
    </rPh>
    <rPh sb="122" eb="123">
      <t>サイ</t>
    </rPh>
    <rPh sb="123" eb="124">
      <t>エン</t>
    </rPh>
    <rPh sb="130" eb="132">
      <t>ハイカン</t>
    </rPh>
    <rPh sb="132" eb="133">
      <t>ナイ</t>
    </rPh>
    <rPh sb="133" eb="135">
      <t>ヨウリョウ</t>
    </rPh>
    <rPh sb="136" eb="138">
      <t>サンシュツ</t>
    </rPh>
    <rPh sb="145" eb="147">
      <t>リュウリョウ</t>
    </rPh>
    <rPh sb="149" eb="151">
      <t>リュウリョウ</t>
    </rPh>
    <rPh sb="153" eb="155">
      <t>サンシュツ</t>
    </rPh>
    <rPh sb="161" eb="162">
      <t>ナイ</t>
    </rPh>
    <rPh sb="165" eb="166">
      <t>サイ</t>
    </rPh>
    <rPh sb="166" eb="167">
      <t>エン</t>
    </rPh>
    <rPh sb="175" eb="176">
      <t>ナイ</t>
    </rPh>
    <rPh sb="180" eb="181">
      <t>バイ</t>
    </rPh>
    <rPh sb="182" eb="183">
      <t>リョウ</t>
    </rPh>
    <rPh sb="184" eb="186">
      <t>ヒカク</t>
    </rPh>
    <rPh sb="190" eb="191">
      <t>オオ</t>
    </rPh>
    <rPh sb="196" eb="198">
      <t>ヨウリョウ</t>
    </rPh>
    <rPh sb="199" eb="201">
      <t>ハイカン</t>
    </rPh>
    <rPh sb="202" eb="204">
      <t>ザイシツ</t>
    </rPh>
    <rPh sb="208" eb="209">
      <t>シタ</t>
    </rPh>
    <rPh sb="215" eb="216">
      <t>ヨ</t>
    </rPh>
    <rPh sb="217" eb="218">
      <t>ト</t>
    </rPh>
    <phoneticPr fontId="4"/>
  </si>
  <si>
    <r>
      <t xml:space="preserve">
　電動弁の開放から一定の時間内にヘッドから放水するための条件「電動弁の開放直後に、</t>
    </r>
    <r>
      <rPr>
        <u/>
        <sz val="10"/>
        <rFont val="ＭＳ Ｐゴシック"/>
        <family val="3"/>
        <charset val="128"/>
        <scheme val="minor"/>
      </rPr>
      <t>流量Ａ</t>
    </r>
    <r>
      <rPr>
        <sz val="10"/>
        <rFont val="ＭＳ Ｐゴシック"/>
        <family val="3"/>
        <charset val="128"/>
        <scheme val="minor"/>
      </rPr>
      <t>が流れる」を満たすことを確認するための計算書です。
　流量Ａの条件でポンプから電動弁まで摩擦損失を計算し、ポンプで必要な給水圧力（Ｐａ）を求めます。</t>
    </r>
    <rPh sb="2" eb="4">
      <t>デンドウ</t>
    </rPh>
    <rPh sb="4" eb="5">
      <t>ベン</t>
    </rPh>
    <rPh sb="6" eb="8">
      <t>カイホウ</t>
    </rPh>
    <rPh sb="10" eb="12">
      <t>イッテイ</t>
    </rPh>
    <rPh sb="13" eb="15">
      <t>ジカン</t>
    </rPh>
    <rPh sb="15" eb="16">
      <t>ナイ</t>
    </rPh>
    <rPh sb="22" eb="24">
      <t>ホウスイ</t>
    </rPh>
    <rPh sb="29" eb="31">
      <t>ジョウケン</t>
    </rPh>
    <rPh sb="32" eb="34">
      <t>デンドウ</t>
    </rPh>
    <rPh sb="34" eb="35">
      <t>ベン</t>
    </rPh>
    <rPh sb="36" eb="38">
      <t>カイホウ</t>
    </rPh>
    <rPh sb="38" eb="40">
      <t>チョクゴ</t>
    </rPh>
    <rPh sb="42" eb="44">
      <t>リュウリョウ</t>
    </rPh>
    <rPh sb="46" eb="47">
      <t>ナガ</t>
    </rPh>
    <rPh sb="51" eb="52">
      <t>ミ</t>
    </rPh>
    <rPh sb="57" eb="59">
      <t>カクニン</t>
    </rPh>
    <rPh sb="64" eb="67">
      <t>ケイサンショ</t>
    </rPh>
    <rPh sb="73" eb="75">
      <t>リュウリョウ</t>
    </rPh>
    <rPh sb="77" eb="79">
      <t>ジョウケン</t>
    </rPh>
    <rPh sb="85" eb="87">
      <t>デンドウ</t>
    </rPh>
    <rPh sb="87" eb="88">
      <t>ベン</t>
    </rPh>
    <rPh sb="90" eb="92">
      <t>マサツ</t>
    </rPh>
    <rPh sb="92" eb="94">
      <t>ソンシツ</t>
    </rPh>
    <rPh sb="95" eb="97">
      <t>ケイサン</t>
    </rPh>
    <rPh sb="103" eb="105">
      <t>ヒツヨウ</t>
    </rPh>
    <rPh sb="106" eb="108">
      <t>キュウスイ</t>
    </rPh>
    <rPh sb="108" eb="110">
      <t>アツリョク</t>
    </rPh>
    <rPh sb="115" eb="116">
      <t>モト</t>
    </rPh>
    <phoneticPr fontId="4"/>
  </si>
  <si>
    <r>
      <t xml:space="preserve">
　電動弁の開放から一定の時間内にヘッドから放水するための条件「ヘッドからの放水直前に、</t>
    </r>
    <r>
      <rPr>
        <u/>
        <sz val="10"/>
        <rFont val="ＭＳ Ｐゴシック"/>
        <family val="3"/>
        <charset val="128"/>
        <scheme val="minor"/>
      </rPr>
      <t>流量Ｂ</t>
    </r>
    <r>
      <rPr>
        <sz val="10"/>
        <rFont val="ＭＳ Ｐゴシック"/>
        <family val="3"/>
        <charset val="128"/>
        <scheme val="minor"/>
      </rPr>
      <t>が流れる」を満たすことを確認するための計算書です。
　流量Ｂの条件でポンプから最遠ヘッドまで摩擦損失を計算し、ポンプで必要な給水圧力（Ｐｂ）を求めます。</t>
    </r>
    <rPh sb="2" eb="4">
      <t>デンドウ</t>
    </rPh>
    <rPh sb="4" eb="5">
      <t>ベン</t>
    </rPh>
    <rPh sb="6" eb="8">
      <t>カイホウ</t>
    </rPh>
    <rPh sb="10" eb="12">
      <t>イッテイ</t>
    </rPh>
    <rPh sb="13" eb="15">
      <t>ジカン</t>
    </rPh>
    <rPh sb="15" eb="16">
      <t>ナイ</t>
    </rPh>
    <rPh sb="22" eb="24">
      <t>ホウスイ</t>
    </rPh>
    <rPh sb="29" eb="31">
      <t>ジョウケン</t>
    </rPh>
    <rPh sb="44" eb="46">
      <t>リュウリョウ</t>
    </rPh>
    <rPh sb="48" eb="49">
      <t>ナガ</t>
    </rPh>
    <rPh sb="53" eb="54">
      <t>ミ</t>
    </rPh>
    <rPh sb="59" eb="61">
      <t>カクニン</t>
    </rPh>
    <rPh sb="66" eb="69">
      <t>ケイサンショ</t>
    </rPh>
    <rPh sb="75" eb="77">
      <t>リュウリョウ</t>
    </rPh>
    <rPh sb="79" eb="81">
      <t>ジョウケン</t>
    </rPh>
    <rPh sb="94" eb="96">
      <t>マサツ</t>
    </rPh>
    <rPh sb="96" eb="98">
      <t>ソンシツ</t>
    </rPh>
    <rPh sb="99" eb="101">
      <t>ケイサン</t>
    </rPh>
    <rPh sb="107" eb="109">
      <t>ヒツヨウ</t>
    </rPh>
    <rPh sb="110" eb="112">
      <t>キュウスイ</t>
    </rPh>
    <rPh sb="112" eb="114">
      <t>アツリョク</t>
    </rPh>
    <rPh sb="119" eb="120">
      <t>モト</t>
    </rPh>
    <phoneticPr fontId="4"/>
  </si>
  <si>
    <r>
      <t xml:space="preserve">
　ヘッドが複数個設置される共用室などで、同時作動数（最大4個）のヘッドから同時に放水する場合に、各ヘッドから
放水圧力0.025MPa以上</t>
    </r>
    <r>
      <rPr>
        <vertAlign val="superscript"/>
        <sz val="10"/>
        <color rgb="FF000000"/>
        <rFont val="ＭＳ Ｐゴシック"/>
        <family val="3"/>
        <charset val="128"/>
        <scheme val="minor"/>
      </rPr>
      <t>※</t>
    </r>
    <r>
      <rPr>
        <sz val="10"/>
        <color rgb="FF000000"/>
        <rFont val="ＭＳ Ｐゴシック"/>
        <family val="3"/>
        <charset val="128"/>
        <scheme val="minor"/>
      </rPr>
      <t xml:space="preserve">で、かつ、15L/min以上の放水ができることを確認するための計算書です。
</t>
    </r>
    <r>
      <rPr>
        <sz val="8"/>
        <color rgb="FF000000"/>
        <rFont val="ＭＳ Ｐゴシック"/>
        <family val="3"/>
        <charset val="128"/>
        <scheme val="minor"/>
      </rPr>
      <t>※本システムで使用する小区画型ヘッド
　　「MHSJ009-72-CP」の仕様による。
　　（消防法施行規則では0.02MPa以上）</t>
    </r>
    <r>
      <rPr>
        <sz val="10"/>
        <color rgb="FF000000"/>
        <rFont val="ＭＳ Ｐゴシック"/>
        <family val="3"/>
        <charset val="128"/>
        <scheme val="minor"/>
      </rPr>
      <t xml:space="preserve">
　ポンプから共用室などの最遠ヘッドまでの摩擦損失を計算し、ポンプで必要な給水圧力（Ｐｄ）を求めます。</t>
    </r>
    <rPh sb="6" eb="9">
      <t>フクスウコ</t>
    </rPh>
    <rPh sb="9" eb="11">
      <t>セッチ</t>
    </rPh>
    <rPh sb="14" eb="16">
      <t>キョウヨウ</t>
    </rPh>
    <rPh sb="16" eb="17">
      <t>シツ</t>
    </rPh>
    <rPh sb="38" eb="40">
      <t>ドウジ</t>
    </rPh>
    <rPh sb="41" eb="43">
      <t>ホウスイ</t>
    </rPh>
    <rPh sb="45" eb="47">
      <t>バアイ</t>
    </rPh>
    <rPh sb="49" eb="50">
      <t>カク</t>
    </rPh>
    <rPh sb="56" eb="58">
      <t>ホウスイ</t>
    </rPh>
    <rPh sb="58" eb="59">
      <t>アツ</t>
    </rPh>
    <rPh sb="59" eb="60">
      <t>リョク</t>
    </rPh>
    <rPh sb="68" eb="70">
      <t>イジョウ</t>
    </rPh>
    <rPh sb="111" eb="112">
      <t>ホン</t>
    </rPh>
    <rPh sb="117" eb="119">
      <t>シヨウ</t>
    </rPh>
    <rPh sb="121" eb="122">
      <t>ショウ</t>
    </rPh>
    <rPh sb="122" eb="125">
      <t>クカクガタ</t>
    </rPh>
    <rPh sb="147" eb="149">
      <t>シヨウ</t>
    </rPh>
    <rPh sb="157" eb="160">
      <t>ショウボウホウ</t>
    </rPh>
    <rPh sb="160" eb="162">
      <t>セコウ</t>
    </rPh>
    <rPh sb="162" eb="164">
      <t>キソク</t>
    </rPh>
    <rPh sb="173" eb="175">
      <t>イジョウ</t>
    </rPh>
    <rPh sb="185" eb="187">
      <t>キョウヨウ</t>
    </rPh>
    <rPh sb="187" eb="188">
      <t>シツ</t>
    </rPh>
    <rPh sb="191" eb="192">
      <t>サイ</t>
    </rPh>
    <rPh sb="192" eb="193">
      <t>エン</t>
    </rPh>
    <phoneticPr fontId="4"/>
  </si>
  <si>
    <t xml:space="preserve">
　１個のヘッドから放水する場合に
放水圧力0.1MPa以上で、かつ、30L/min以上の放水ができることを確認するための計算書です。
　ポンプから最遠ヘッドまでの摩擦損失を計算し、ポンプで必要な給水圧力（Ｐｃ）を求めます。</t>
    <rPh sb="3" eb="4">
      <t>コ</t>
    </rPh>
    <rPh sb="10" eb="12">
      <t>ホウスイ</t>
    </rPh>
    <rPh sb="18" eb="20">
      <t>ホウスイ</t>
    </rPh>
    <rPh sb="20" eb="22">
      <t>アツリョク</t>
    </rPh>
    <rPh sb="28" eb="30">
      <t>イジョウ</t>
    </rPh>
    <rPh sb="42" eb="44">
      <t>イジョウ</t>
    </rPh>
    <rPh sb="45" eb="47">
      <t>ホウスイ</t>
    </rPh>
    <rPh sb="54" eb="56">
      <t>カクニン</t>
    </rPh>
    <rPh sb="61" eb="64">
      <t>ケイサンショ</t>
    </rPh>
    <rPh sb="75" eb="76">
      <t>サイ</t>
    </rPh>
    <rPh sb="76" eb="77">
      <t>エン</t>
    </rPh>
    <phoneticPr fontId="4"/>
  </si>
  <si>
    <r>
      <t xml:space="preserve">
　</t>
    </r>
    <r>
      <rPr>
        <sz val="10"/>
        <rFont val="ＭＳ Ｐゴシック"/>
        <family val="3"/>
        <charset val="128"/>
        <scheme val="minor"/>
      </rPr>
      <t>テスト弁で放水試験を行なうときの合否の判定基準となる電動弁一次側の圧力値を計算します。
　</t>
    </r>
    <rPh sb="28" eb="30">
      <t>デンドウ</t>
    </rPh>
    <rPh sb="30" eb="31">
      <t>ベン</t>
    </rPh>
    <rPh sb="31" eb="32">
      <t>イチ</t>
    </rPh>
    <rPh sb="32" eb="33">
      <t>ジ</t>
    </rPh>
    <rPh sb="33" eb="34">
      <t>ガワ</t>
    </rPh>
    <phoneticPr fontId="4"/>
  </si>
  <si>
    <t>水道連結型スプリンクラー設備</t>
    <phoneticPr fontId="4"/>
  </si>
  <si>
    <t>②【流量A】必要給水圧力(Pa)</t>
    <rPh sb="2" eb="4">
      <t>リュウリョウ</t>
    </rPh>
    <rPh sb="6" eb="8">
      <t>ヒツヨウ</t>
    </rPh>
    <rPh sb="8" eb="10">
      <t>キュウスイ</t>
    </rPh>
    <rPh sb="10" eb="12">
      <t>アツリョク</t>
    </rPh>
    <phoneticPr fontId="4"/>
  </si>
  <si>
    <t>③【流量B】必要給水圧力(Pb)</t>
    <rPh sb="2" eb="4">
      <t>リュウリョウ</t>
    </rPh>
    <rPh sb="6" eb="8">
      <t>ヒツヨウ</t>
    </rPh>
    <rPh sb="8" eb="10">
      <t>キュウスイ</t>
    </rPh>
    <rPh sb="10" eb="12">
      <t>アツリョク</t>
    </rPh>
    <phoneticPr fontId="4"/>
  </si>
  <si>
    <t>④【1個放水】必要給水圧力(Pc)</t>
    <rPh sb="3" eb="4">
      <t>コ</t>
    </rPh>
    <rPh sb="4" eb="6">
      <t>ホウスイ</t>
    </rPh>
    <rPh sb="7" eb="9">
      <t>ヒツヨウ</t>
    </rPh>
    <rPh sb="9" eb="11">
      <t>キュウスイ</t>
    </rPh>
    <rPh sb="11" eb="13">
      <t>アツリョク</t>
    </rPh>
    <phoneticPr fontId="4"/>
  </si>
  <si>
    <t>⑤【4個同時放水】必要給水圧力(Pd)</t>
    <rPh sb="3" eb="4">
      <t>コ</t>
    </rPh>
    <rPh sb="4" eb="6">
      <t>ドウジ</t>
    </rPh>
    <rPh sb="6" eb="8">
      <t>ホウスイ</t>
    </rPh>
    <rPh sb="9" eb="11">
      <t>ヒツヨウ</t>
    </rPh>
    <rPh sb="11" eb="13">
      <t>キュウスイ</t>
    </rPh>
    <rPh sb="13" eb="15">
      <t>アツリョク</t>
    </rPh>
    <phoneticPr fontId="4"/>
  </si>
  <si>
    <t>PP</t>
    <phoneticPr fontId="4"/>
  </si>
  <si>
    <t>13A</t>
    <phoneticPr fontId="4"/>
  </si>
  <si>
    <t>20A</t>
    <phoneticPr fontId="4"/>
  </si>
  <si>
    <t>25A</t>
    <phoneticPr fontId="4"/>
  </si>
  <si>
    <t>30A</t>
    <phoneticPr fontId="4"/>
  </si>
  <si>
    <t>40A</t>
    <phoneticPr fontId="4"/>
  </si>
  <si>
    <t>50A</t>
    <phoneticPr fontId="4"/>
  </si>
  <si>
    <t>水道用ポリエチレン二層管</t>
    <rPh sb="0" eb="3">
      <t>スイドウヨウ</t>
    </rPh>
    <rPh sb="9" eb="10">
      <t>ニ</t>
    </rPh>
    <rPh sb="10" eb="11">
      <t>ソウ</t>
    </rPh>
    <rPh sb="11" eb="12">
      <t>カン</t>
    </rPh>
    <phoneticPr fontId="4"/>
  </si>
  <si>
    <t>PP</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</si>
</sst>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Red]\(#,##0\)"/>
    <numFmt numFmtId="177" formatCode="0.0000_ "/>
    <numFmt numFmtId="178" formatCode="0.00_ "/>
    <numFmt numFmtId="179" formatCode="0.0_ "/>
    <numFmt numFmtId="180" formatCode="0_ "/>
    <numFmt numFmtId="181" formatCode="0.0_);[Red]\(0.0\)"/>
    <numFmt numFmtId="182" formatCode="0_);[Red]\(0\)"/>
    <numFmt numFmtId="183" formatCode=";;;"/>
    <numFmt numFmtId="184" formatCode="0.00_);[Red]\(0.00\)"/>
    <numFmt numFmtId="185" formatCode="0.00000_ "/>
    <numFmt numFmtId="186" formatCode="0.000_ "/>
    <numFmt numFmtId="187" formatCode="0.0"/>
  </numFmts>
  <fonts count="30" x14ac:knownFonts="1">
    <font>
      <sz val="11"/>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sz val="20"/>
      <name val="ＭＳ Ｐゴシック"/>
      <family val="3"/>
      <charset val="128"/>
    </font>
    <font>
      <sz val="18"/>
      <name val="ＭＳ Ｐゴシック"/>
      <family val="3"/>
      <charset val="128"/>
    </font>
    <font>
      <sz val="12"/>
      <color theme="0"/>
      <name val="ＭＳ Ｐゴシック"/>
      <family val="3"/>
      <charset val="128"/>
    </font>
    <font>
      <sz val="11"/>
      <color theme="0"/>
      <name val="ＭＳ Ｐゴシック"/>
      <family val="3"/>
      <charset val="128"/>
    </font>
    <font>
      <u/>
      <sz val="11"/>
      <name val="ＭＳ Ｐゴシック"/>
      <family val="3"/>
      <charset val="128"/>
    </font>
    <font>
      <sz val="16"/>
      <name val="ＭＳ Ｐゴシック"/>
      <family val="3"/>
      <charset val="128"/>
    </font>
    <font>
      <sz val="11"/>
      <color rgb="FF000000"/>
      <name val="ＭＳ Ｐゴシック"/>
      <family val="3"/>
      <charset val="128"/>
    </font>
    <font>
      <sz val="11"/>
      <name val="ＭＳ Ｐ明朝"/>
      <family val="1"/>
      <charset val="128"/>
    </font>
    <font>
      <b/>
      <sz val="11"/>
      <name val="ＭＳ Ｐゴシック"/>
      <family val="3"/>
      <charset val="128"/>
    </font>
    <font>
      <sz val="11"/>
      <color rgb="FF000000"/>
      <name val="ＭＳ Ｐ明朝"/>
      <family val="1"/>
      <charset val="128"/>
    </font>
    <font>
      <u/>
      <sz val="11"/>
      <name val="ＭＳ Ｐ明朝"/>
      <family val="1"/>
      <charset val="128"/>
    </font>
    <font>
      <sz val="22"/>
      <name val="ＭＳ Ｐゴシック"/>
      <family val="3"/>
      <charset val="128"/>
    </font>
    <font>
      <sz val="11"/>
      <name val="ＭＳ Ｐゴシック"/>
      <family val="3"/>
      <charset val="128"/>
      <scheme val="minor"/>
    </font>
    <font>
      <b/>
      <u/>
      <sz val="11"/>
      <color rgb="FFFF0000"/>
      <name val="ＭＳ Ｐゴシック"/>
      <family val="3"/>
      <charset val="128"/>
      <scheme val="minor"/>
    </font>
    <font>
      <b/>
      <u/>
      <sz val="11"/>
      <name val="ＭＳ Ｐゴシック"/>
      <family val="3"/>
      <charset val="128"/>
    </font>
    <font>
      <u/>
      <sz val="10"/>
      <name val="ＭＳ Ｐゴシック"/>
      <family val="3"/>
      <charset val="128"/>
    </font>
    <font>
      <sz val="10"/>
      <name val="ＭＳ Ｐゴシック"/>
      <family val="3"/>
      <charset val="128"/>
      <scheme val="minor"/>
    </font>
    <font>
      <u/>
      <sz val="10"/>
      <name val="ＭＳ Ｐゴシック"/>
      <family val="3"/>
      <charset val="128"/>
      <scheme val="minor"/>
    </font>
    <font>
      <sz val="10"/>
      <color rgb="FF000000"/>
      <name val="ＭＳ Ｐゴシック"/>
      <family val="3"/>
      <charset val="128"/>
      <scheme val="minor"/>
    </font>
    <font>
      <vertAlign val="superscript"/>
      <sz val="10"/>
      <color rgb="FF000000"/>
      <name val="ＭＳ Ｐゴシック"/>
      <family val="3"/>
      <charset val="128"/>
      <scheme val="minor"/>
    </font>
    <font>
      <sz val="8"/>
      <color rgb="FF000000"/>
      <name val="ＭＳ Ｐゴシック"/>
      <family val="3"/>
      <charset val="128"/>
      <scheme val="minor"/>
    </font>
    <font>
      <sz val="28"/>
      <color rgb="FFC00000"/>
      <name val="ＭＳ Ｐゴシック"/>
      <family val="3"/>
      <charset val="128"/>
    </font>
    <font>
      <sz val="8"/>
      <name val="ＭＳ Ｐゴシック"/>
      <family val="3"/>
      <charset val="128"/>
    </font>
    <font>
      <sz val="9"/>
      <name val="ＭＳ Ｐゴシック"/>
      <family val="3"/>
      <charset val="128"/>
    </font>
  </fonts>
  <fills count="8">
    <fill>
      <patternFill patternType="none"/>
    </fill>
    <fill>
      <patternFill patternType="gray125"/>
    </fill>
    <fill>
      <patternFill patternType="solid">
        <fgColor theme="4" tint="0.59996337778862885"/>
        <bgColor indexed="64"/>
      </patternFill>
    </fill>
    <fill>
      <patternFill patternType="solid">
        <fgColor rgb="FFFFFF99"/>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bgColor indexed="64"/>
      </patternFill>
    </fill>
  </fills>
  <borders count="49">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style="double">
        <color indexed="64"/>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cellStyleXfs>
  <cellXfs count="441">
    <xf numFmtId="0" fontId="0" fillId="0" borderId="0" xfId="0"/>
    <xf numFmtId="0" fontId="6" fillId="0" borderId="0" xfId="0" applyFont="1" applyAlignment="1" applyProtection="1">
      <alignment vertical="center"/>
    </xf>
    <xf numFmtId="0" fontId="0" fillId="0" borderId="0" xfId="0" applyProtection="1"/>
    <xf numFmtId="0" fontId="0" fillId="0" borderId="0" xfId="0" applyAlignment="1" applyProtection="1">
      <alignment vertical="center"/>
    </xf>
    <xf numFmtId="0" fontId="0" fillId="0" borderId="0" xfId="0" applyAlignment="1" applyProtection="1">
      <alignment horizontal="right" vertical="center"/>
    </xf>
    <xf numFmtId="0" fontId="1" fillId="0" borderId="0" xfId="0" applyFont="1" applyAlignment="1" applyProtection="1">
      <alignment vertical="center"/>
    </xf>
    <xf numFmtId="186" fontId="1" fillId="0" borderId="0" xfId="0" applyNumberFormat="1" applyFont="1" applyAlignment="1" applyProtection="1">
      <alignment vertical="center"/>
    </xf>
    <xf numFmtId="0" fontId="1" fillId="0" borderId="0" xfId="0" applyFont="1" applyBorder="1" applyAlignment="1" applyProtection="1">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2" borderId="8" xfId="0" applyFont="1"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1" fillId="0" borderId="36" xfId="0" applyFont="1" applyBorder="1" applyAlignment="1" applyProtection="1">
      <alignment horizontal="center" vertical="center" shrinkToFit="1"/>
    </xf>
    <xf numFmtId="0" fontId="0" fillId="0" borderId="36" xfId="0" applyBorder="1" applyAlignment="1" applyProtection="1">
      <alignment horizontal="center" vertical="center" shrinkToFit="1"/>
    </xf>
    <xf numFmtId="0" fontId="0" fillId="0" borderId="0" xfId="0" applyFill="1" applyBorder="1" applyAlignment="1" applyProtection="1">
      <alignment vertical="center"/>
    </xf>
    <xf numFmtId="0" fontId="1" fillId="0" borderId="18" xfId="0" applyFont="1" applyBorder="1" applyAlignment="1" applyProtection="1">
      <alignment horizontal="right" vertical="center"/>
    </xf>
    <xf numFmtId="0" fontId="1" fillId="2" borderId="18" xfId="0" applyFont="1" applyFill="1" applyBorder="1" applyAlignment="1" applyProtection="1">
      <alignment horizontal="right" vertical="center"/>
      <protection locked="0"/>
    </xf>
    <xf numFmtId="187" fontId="1" fillId="0" borderId="18" xfId="0" applyNumberFormat="1" applyFont="1" applyBorder="1" applyAlignment="1" applyProtection="1">
      <alignment horizontal="right" vertical="center"/>
    </xf>
    <xf numFmtId="0" fontId="1" fillId="2" borderId="8" xfId="0" applyFont="1" applyFill="1" applyBorder="1" applyAlignment="1" applyProtection="1">
      <alignment horizontal="right" vertical="center"/>
      <protection locked="0"/>
    </xf>
    <xf numFmtId="187" fontId="1" fillId="0" borderId="8" xfId="0" applyNumberFormat="1" applyFont="1" applyBorder="1" applyAlignment="1" applyProtection="1">
      <alignment horizontal="right" vertical="center"/>
    </xf>
    <xf numFmtId="0" fontId="0" fillId="0" borderId="8" xfId="0" applyBorder="1" applyAlignment="1" applyProtection="1">
      <alignment vertical="center"/>
    </xf>
    <xf numFmtId="0" fontId="0" fillId="0" borderId="8" xfId="0" applyBorder="1" applyAlignment="1" applyProtection="1">
      <alignment horizontal="right" vertical="center"/>
    </xf>
    <xf numFmtId="0" fontId="0" fillId="0" borderId="8" xfId="0" applyFill="1" applyBorder="1" applyAlignment="1" applyProtection="1">
      <alignment horizontal="right" vertical="center"/>
    </xf>
    <xf numFmtId="0" fontId="0" fillId="0" borderId="8" xfId="0" applyFill="1" applyBorder="1" applyAlignment="1" applyProtection="1">
      <alignment vertical="center"/>
    </xf>
    <xf numFmtId="0" fontId="1" fillId="0" borderId="8" xfId="0" applyFont="1" applyBorder="1" applyAlignment="1" applyProtection="1">
      <alignment horizontal="right" vertical="center"/>
    </xf>
    <xf numFmtId="0" fontId="1" fillId="0" borderId="37" xfId="0" applyFont="1" applyBorder="1" applyAlignment="1" applyProtection="1">
      <alignment horizontal="center" vertical="center" shrinkToFit="1"/>
    </xf>
    <xf numFmtId="0" fontId="1" fillId="2" borderId="8" xfId="0" applyFont="1" applyFill="1" applyBorder="1" applyAlignment="1" applyProtection="1">
      <alignment vertical="center"/>
      <protection locked="0"/>
    </xf>
    <xf numFmtId="0" fontId="1" fillId="0" borderId="7" xfId="0" applyFont="1" applyBorder="1" applyAlignment="1" applyProtection="1">
      <alignment vertical="center"/>
    </xf>
    <xf numFmtId="0" fontId="1" fillId="0" borderId="18" xfId="0" applyFont="1" applyBorder="1" applyAlignment="1" applyProtection="1">
      <alignment vertical="center"/>
    </xf>
    <xf numFmtId="0" fontId="1" fillId="0" borderId="4" xfId="0" applyFont="1" applyBorder="1" applyAlignment="1" applyProtection="1">
      <alignment horizontal="right" vertical="center"/>
    </xf>
    <xf numFmtId="0" fontId="1" fillId="0" borderId="0" xfId="0" applyFont="1" applyBorder="1" applyAlignment="1" applyProtection="1">
      <alignment horizontal="center" vertical="center"/>
    </xf>
    <xf numFmtId="179" fontId="9" fillId="0" borderId="0" xfId="0" applyNumberFormat="1" applyFont="1" applyFill="1" applyBorder="1" applyAlignment="1" applyProtection="1">
      <alignment vertical="center"/>
    </xf>
    <xf numFmtId="0" fontId="0" fillId="0" borderId="36" xfId="0" applyBorder="1" applyAlignment="1" applyProtection="1">
      <alignment horizontal="center" vertical="center"/>
    </xf>
    <xf numFmtId="187" fontId="0" fillId="0" borderId="36" xfId="0" applyNumberFormat="1" applyFill="1" applyBorder="1" applyAlignment="1" applyProtection="1">
      <alignment horizontal="center" vertical="center"/>
    </xf>
    <xf numFmtId="0" fontId="0" fillId="0" borderId="0" xfId="0" applyAlignment="1" applyProtection="1">
      <alignment horizontal="center" vertical="center"/>
    </xf>
    <xf numFmtId="187" fontId="1" fillId="0" borderId="0" xfId="0" applyNumberFormat="1" applyFont="1" applyFill="1" applyBorder="1" applyAlignment="1" applyProtection="1">
      <alignment vertical="center"/>
    </xf>
    <xf numFmtId="0" fontId="0" fillId="0" borderId="0" xfId="0" applyBorder="1" applyAlignment="1" applyProtection="1">
      <alignment horizontal="right" vertical="center"/>
    </xf>
    <xf numFmtId="0" fontId="1" fillId="2" borderId="18" xfId="0" applyFont="1" applyFill="1" applyBorder="1" applyProtection="1">
      <protection locked="0"/>
    </xf>
    <xf numFmtId="187" fontId="1" fillId="0" borderId="18" xfId="0" applyNumberFormat="1" applyFont="1" applyBorder="1" applyProtection="1"/>
    <xf numFmtId="0" fontId="1" fillId="2" borderId="8" xfId="0" applyFont="1" applyFill="1" applyBorder="1" applyProtection="1">
      <protection locked="0"/>
    </xf>
    <xf numFmtId="0" fontId="2" fillId="0" borderId="0" xfId="0" applyFont="1" applyBorder="1" applyAlignment="1" applyProtection="1">
      <alignment vertical="center"/>
    </xf>
    <xf numFmtId="0" fontId="1" fillId="0" borderId="7" xfId="0" applyFont="1" applyBorder="1" applyProtection="1"/>
    <xf numFmtId="0" fontId="1" fillId="0" borderId="18" xfId="0" applyFont="1" applyBorder="1" applyProtection="1"/>
    <xf numFmtId="0" fontId="1" fillId="0" borderId="0" xfId="0" applyFont="1" applyBorder="1" applyProtection="1"/>
    <xf numFmtId="0" fontId="1" fillId="0" borderId="4" xfId="0" applyFont="1" applyBorder="1" applyAlignment="1" applyProtection="1">
      <alignment horizontal="right"/>
    </xf>
    <xf numFmtId="0" fontId="1" fillId="0" borderId="0" xfId="0" applyFont="1" applyBorder="1" applyAlignment="1" applyProtection="1">
      <alignment horizontal="center"/>
    </xf>
    <xf numFmtId="0" fontId="0" fillId="0" borderId="0" xfId="0" applyBorder="1" applyAlignment="1" applyProtection="1">
      <alignment horizontal="center"/>
    </xf>
    <xf numFmtId="0" fontId="0" fillId="0" borderId="36" xfId="0" applyBorder="1" applyAlignment="1" applyProtection="1">
      <alignment horizontal="center"/>
    </xf>
    <xf numFmtId="187" fontId="0" fillId="0" borderId="36" xfId="0" applyNumberFormat="1" applyFill="1" applyBorder="1" applyAlignment="1" applyProtection="1">
      <alignment horizontal="center"/>
    </xf>
    <xf numFmtId="0" fontId="0" fillId="0" borderId="8" xfId="0" applyBorder="1" applyAlignment="1" applyProtection="1">
      <alignment horizontal="center" vertical="center"/>
    </xf>
    <xf numFmtId="0" fontId="2" fillId="0" borderId="0" xfId="0" applyFont="1" applyAlignment="1" applyProtection="1">
      <alignment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7" xfId="0" applyFont="1" applyBorder="1" applyAlignment="1" applyProtection="1">
      <alignment horizontal="centerContinuous" vertical="center"/>
    </xf>
    <xf numFmtId="0" fontId="2" fillId="0" borderId="0" xfId="0" applyFont="1" applyBorder="1" applyAlignment="1" applyProtection="1">
      <alignment horizontal="centerContinuous" vertical="center"/>
    </xf>
    <xf numFmtId="0" fontId="3" fillId="0" borderId="0" xfId="0" applyFont="1" applyBorder="1" applyAlignment="1" applyProtection="1">
      <alignment vertical="center"/>
    </xf>
    <xf numFmtId="0" fontId="2" fillId="0" borderId="0" xfId="0" applyFont="1" applyBorder="1" applyAlignment="1" applyProtection="1">
      <alignment horizontal="left" vertical="center"/>
    </xf>
    <xf numFmtId="0" fontId="2" fillId="0" borderId="8" xfId="0" applyFont="1" applyBorder="1" applyAlignment="1" applyProtection="1">
      <alignment horizontal="left" vertical="center"/>
    </xf>
    <xf numFmtId="180" fontId="2" fillId="0" borderId="8" xfId="0" applyNumberFormat="1" applyFont="1" applyBorder="1" applyAlignment="1" applyProtection="1">
      <alignment vertical="center"/>
    </xf>
    <xf numFmtId="0" fontId="2" fillId="0" borderId="4" xfId="0" applyFont="1" applyBorder="1" applyAlignment="1" applyProtection="1">
      <alignment vertic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0" xfId="0" quotePrefix="1" applyFont="1" applyBorder="1" applyAlignment="1" applyProtection="1">
      <alignment vertical="center"/>
    </xf>
    <xf numFmtId="184" fontId="2" fillId="0" borderId="8" xfId="0" applyNumberFormat="1" applyFont="1" applyBorder="1" applyAlignment="1" applyProtection="1">
      <alignment vertical="center"/>
    </xf>
    <xf numFmtId="0" fontId="2" fillId="0" borderId="4" xfId="0" applyFont="1" applyBorder="1" applyAlignment="1" applyProtection="1">
      <alignment horizontal="centerContinuous" vertical="center"/>
    </xf>
    <xf numFmtId="0" fontId="2" fillId="0" borderId="10" xfId="0" applyFont="1" applyBorder="1" applyAlignment="1" applyProtection="1">
      <alignment horizontal="center" vertical="center"/>
    </xf>
    <xf numFmtId="0" fontId="2" fillId="0" borderId="6" xfId="0" applyFont="1" applyBorder="1" applyAlignment="1" applyProtection="1">
      <alignment horizontal="centerContinuous" vertical="center"/>
    </xf>
    <xf numFmtId="0" fontId="2" fillId="0" borderId="0" xfId="0" applyFont="1" applyBorder="1" applyAlignment="1" applyProtection="1">
      <alignment horizontal="center" vertical="center" wrapText="1"/>
    </xf>
    <xf numFmtId="0" fontId="2" fillId="0" borderId="3"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176" fontId="2" fillId="0" borderId="1" xfId="0" applyNumberFormat="1" applyFont="1" applyBorder="1" applyAlignment="1" applyProtection="1">
      <alignment vertical="center"/>
    </xf>
    <xf numFmtId="177" fontId="2" fillId="0" borderId="13" xfId="0" applyNumberFormat="1" applyFont="1" applyBorder="1" applyAlignment="1" applyProtection="1">
      <alignment vertical="center"/>
    </xf>
    <xf numFmtId="181" fontId="2" fillId="0" borderId="0" xfId="0" applyNumberFormat="1" applyFont="1" applyBorder="1" applyAlignment="1" applyProtection="1">
      <alignment vertical="center"/>
    </xf>
    <xf numFmtId="0" fontId="2" fillId="0" borderId="14" xfId="0" applyFont="1" applyBorder="1" applyAlignment="1" applyProtection="1">
      <alignment vertical="center"/>
    </xf>
    <xf numFmtId="0" fontId="1" fillId="0" borderId="15" xfId="0" applyFont="1" applyBorder="1" applyAlignment="1" applyProtection="1">
      <alignment horizontal="left" vertical="center"/>
    </xf>
    <xf numFmtId="178" fontId="2" fillId="0" borderId="12" xfId="0" applyNumberFormat="1" applyFont="1" applyBorder="1" applyAlignment="1" applyProtection="1">
      <alignment vertical="center"/>
    </xf>
    <xf numFmtId="178" fontId="2" fillId="0" borderId="9" xfId="0" applyNumberFormat="1" applyFont="1" applyBorder="1" applyAlignment="1" applyProtection="1">
      <alignment vertical="center"/>
    </xf>
    <xf numFmtId="184" fontId="2" fillId="0" borderId="12" xfId="0" applyNumberFormat="1" applyFont="1" applyBorder="1" applyAlignment="1" applyProtection="1">
      <alignment vertical="center"/>
    </xf>
    <xf numFmtId="178" fontId="2" fillId="0" borderId="16" xfId="0" applyNumberFormat="1" applyFont="1" applyBorder="1" applyAlignment="1" applyProtection="1">
      <alignment vertical="center"/>
    </xf>
    <xf numFmtId="178" fontId="2" fillId="0" borderId="1" xfId="0" applyNumberFormat="1" applyFont="1" applyBorder="1" applyAlignment="1" applyProtection="1">
      <alignment vertical="center"/>
    </xf>
    <xf numFmtId="184" fontId="2" fillId="0" borderId="0" xfId="0" applyNumberFormat="1" applyFont="1" applyBorder="1" applyAlignment="1" applyProtection="1">
      <alignment vertical="center"/>
    </xf>
    <xf numFmtId="178" fontId="2" fillId="0" borderId="14" xfId="0" applyNumberFormat="1" applyFont="1" applyBorder="1" applyAlignment="1" applyProtection="1">
      <alignment vertical="center"/>
    </xf>
    <xf numFmtId="0" fontId="2" fillId="0" borderId="16" xfId="0" applyFont="1" applyBorder="1" applyAlignment="1" applyProtection="1">
      <alignment vertical="center"/>
    </xf>
    <xf numFmtId="184" fontId="2" fillId="0" borderId="15" xfId="0" applyNumberFormat="1" applyFont="1" applyBorder="1" applyAlignment="1" applyProtection="1">
      <alignment vertical="center"/>
    </xf>
    <xf numFmtId="0" fontId="1" fillId="0" borderId="0" xfId="0" applyFont="1" applyBorder="1" applyAlignment="1" applyProtection="1">
      <alignment horizontal="left" vertical="center"/>
    </xf>
    <xf numFmtId="178" fontId="2" fillId="0" borderId="0" xfId="0" applyNumberFormat="1" applyFont="1" applyBorder="1" applyAlignment="1" applyProtection="1">
      <alignment vertical="center"/>
    </xf>
    <xf numFmtId="184" fontId="2" fillId="0" borderId="17" xfId="0" applyNumberFormat="1" applyFont="1" applyBorder="1" applyAlignment="1" applyProtection="1">
      <alignment vertical="center"/>
    </xf>
    <xf numFmtId="184" fontId="2" fillId="0" borderId="2" xfId="0" applyNumberFormat="1" applyFont="1" applyBorder="1" applyAlignment="1" applyProtection="1">
      <alignment vertical="center"/>
    </xf>
    <xf numFmtId="183" fontId="2" fillId="0" borderId="18" xfId="0" applyNumberFormat="1" applyFont="1" applyBorder="1" applyAlignment="1" applyProtection="1">
      <alignment horizontal="right" vertical="center"/>
    </xf>
    <xf numFmtId="178" fontId="2" fillId="0" borderId="19" xfId="0" applyNumberFormat="1" applyFont="1" applyBorder="1" applyAlignment="1" applyProtection="1">
      <alignment vertical="center"/>
    </xf>
    <xf numFmtId="0" fontId="2" fillId="0" borderId="19" xfId="0" applyFont="1" applyBorder="1" applyAlignment="1" applyProtection="1">
      <alignment vertical="center"/>
    </xf>
    <xf numFmtId="176" fontId="2" fillId="0" borderId="9" xfId="0" applyNumberFormat="1" applyFont="1" applyBorder="1" applyAlignment="1" applyProtection="1">
      <alignment vertical="center"/>
    </xf>
    <xf numFmtId="177" fontId="2" fillId="0" borderId="20" xfId="0" applyNumberFormat="1" applyFont="1" applyBorder="1" applyAlignment="1" applyProtection="1">
      <alignment vertical="center"/>
    </xf>
    <xf numFmtId="181" fontId="2" fillId="0" borderId="12" xfId="0" applyNumberFormat="1" applyFont="1" applyBorder="1" applyAlignment="1" applyProtection="1">
      <alignment vertical="center"/>
    </xf>
    <xf numFmtId="176" fontId="2" fillId="0" borderId="18" xfId="0" applyNumberFormat="1" applyFont="1" applyBorder="1" applyAlignment="1" applyProtection="1">
      <alignment vertical="center"/>
    </xf>
    <xf numFmtId="177" fontId="2" fillId="0" borderId="21" xfId="0" applyNumberFormat="1" applyFont="1" applyBorder="1" applyAlignment="1" applyProtection="1">
      <alignment vertical="center"/>
    </xf>
    <xf numFmtId="181" fontId="2" fillId="0" borderId="22" xfId="0" applyNumberFormat="1" applyFont="1" applyBorder="1" applyAlignment="1" applyProtection="1">
      <alignment vertical="center"/>
    </xf>
    <xf numFmtId="178" fontId="2" fillId="0" borderId="18" xfId="0" applyNumberFormat="1" applyFont="1" applyBorder="1" applyAlignment="1" applyProtection="1">
      <alignment vertical="center"/>
    </xf>
    <xf numFmtId="184" fontId="2" fillId="0" borderId="22" xfId="0" applyNumberFormat="1" applyFont="1" applyBorder="1" applyAlignment="1" applyProtection="1">
      <alignment vertical="center"/>
    </xf>
    <xf numFmtId="0" fontId="2" fillId="0" borderId="8" xfId="0" applyFont="1" applyBorder="1" applyAlignment="1" applyProtection="1">
      <alignment vertical="center"/>
    </xf>
    <xf numFmtId="178" fontId="2" fillId="0" borderId="8" xfId="0" applyNumberFormat="1"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2" fillId="0" borderId="0" xfId="0" applyFont="1" applyAlignment="1" applyProtection="1">
      <alignment horizontal="center" vertical="center"/>
    </xf>
    <xf numFmtId="179" fontId="2" fillId="0" borderId="8" xfId="0" applyNumberFormat="1" applyFont="1" applyBorder="1" applyAlignment="1" applyProtection="1">
      <alignment vertical="center"/>
    </xf>
    <xf numFmtId="0" fontId="3" fillId="0" borderId="22" xfId="0" applyFont="1" applyBorder="1" applyAlignment="1" applyProtection="1">
      <alignment vertical="center"/>
    </xf>
    <xf numFmtId="0" fontId="2" fillId="0" borderId="0" xfId="0" applyFont="1" applyAlignment="1" applyProtection="1">
      <alignment horizontal="left" vertical="center"/>
    </xf>
    <xf numFmtId="0" fontId="2" fillId="0" borderId="23" xfId="0" applyFont="1" applyBorder="1" applyAlignment="1" applyProtection="1">
      <alignment vertical="center"/>
    </xf>
    <xf numFmtId="0" fontId="1" fillId="0" borderId="24" xfId="0" applyFont="1" applyBorder="1" applyAlignment="1" applyProtection="1">
      <alignment horizontal="left" vertical="center"/>
    </xf>
    <xf numFmtId="178" fontId="2" fillId="0" borderId="23" xfId="0" applyNumberFormat="1" applyFont="1" applyBorder="1" applyAlignment="1" applyProtection="1">
      <alignment vertical="center"/>
    </xf>
    <xf numFmtId="184" fontId="2" fillId="0" borderId="24" xfId="0" applyNumberFormat="1" applyFont="1" applyBorder="1" applyAlignment="1" applyProtection="1">
      <alignment vertical="center"/>
    </xf>
    <xf numFmtId="184" fontId="2" fillId="0" borderId="18" xfId="0" applyNumberFormat="1" applyFont="1" applyBorder="1" applyAlignment="1" applyProtection="1">
      <alignment vertical="center"/>
    </xf>
    <xf numFmtId="179" fontId="2" fillId="0" borderId="0" xfId="0" applyNumberFormat="1" applyFont="1" applyBorder="1" applyAlignment="1" applyProtection="1">
      <alignment vertical="center"/>
    </xf>
    <xf numFmtId="178" fontId="2" fillId="0" borderId="25" xfId="0" applyNumberFormat="1" applyFont="1" applyBorder="1" applyAlignment="1" applyProtection="1">
      <alignment vertical="center"/>
    </xf>
    <xf numFmtId="178" fontId="2" fillId="0" borderId="4" xfId="0" applyNumberFormat="1" applyFont="1" applyBorder="1" applyAlignment="1" applyProtection="1">
      <alignment vertical="center"/>
    </xf>
    <xf numFmtId="183" fontId="2" fillId="0" borderId="0" xfId="0" applyNumberFormat="1" applyFont="1" applyBorder="1" applyAlignment="1" applyProtection="1">
      <alignment vertical="center"/>
    </xf>
    <xf numFmtId="0" fontId="2" fillId="0" borderId="5" xfId="0" applyFont="1" applyBorder="1" applyAlignment="1" applyProtection="1">
      <alignment horizontal="centerContinuous" vertical="center"/>
    </xf>
    <xf numFmtId="0" fontId="2" fillId="0" borderId="2" xfId="0" applyFont="1" applyBorder="1" applyAlignment="1" applyProtection="1">
      <alignment horizontal="centerContinuous" vertical="center"/>
    </xf>
    <xf numFmtId="0" fontId="2" fillId="0" borderId="0" xfId="0" applyFont="1" applyFill="1" applyBorder="1" applyAlignment="1" applyProtection="1">
      <alignment vertical="center"/>
    </xf>
    <xf numFmtId="0" fontId="2" fillId="0" borderId="0" xfId="0" applyNumberFormat="1" applyFont="1" applyBorder="1" applyAlignment="1" applyProtection="1">
      <alignment horizontal="left" vertical="center"/>
    </xf>
    <xf numFmtId="0" fontId="2" fillId="0" borderId="0" xfId="0" applyFont="1" applyBorder="1" applyAlignment="1" applyProtection="1">
      <alignment horizontal="right" vertical="center"/>
    </xf>
    <xf numFmtId="0" fontId="2" fillId="0" borderId="4"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7" xfId="0" applyFont="1" applyBorder="1" applyAlignment="1" applyProtection="1">
      <alignment horizontal="left" vertical="center"/>
    </xf>
    <xf numFmtId="178" fontId="2" fillId="0" borderId="4" xfId="0" applyNumberFormat="1" applyFont="1" applyBorder="1" applyAlignment="1" applyProtection="1">
      <alignment horizontal="right" vertical="center"/>
    </xf>
    <xf numFmtId="0" fontId="2" fillId="0" borderId="0" xfId="0" applyFont="1" applyFill="1" applyBorder="1" applyAlignment="1" applyProtection="1">
      <alignment horizontal="right" vertical="center"/>
    </xf>
    <xf numFmtId="178" fontId="2" fillId="0" borderId="0" xfId="0" applyNumberFormat="1" applyFont="1" applyBorder="1" applyAlignment="1" applyProtection="1">
      <alignment horizontal="right" vertical="center"/>
    </xf>
    <xf numFmtId="0" fontId="2" fillId="0" borderId="4" xfId="0" applyFont="1" applyBorder="1" applyAlignment="1" applyProtection="1">
      <alignment horizontal="right" vertical="center"/>
    </xf>
    <xf numFmtId="0" fontId="3" fillId="0" borderId="0" xfId="0" applyFont="1" applyFill="1" applyBorder="1" applyAlignment="1" applyProtection="1">
      <alignment vertical="center"/>
    </xf>
    <xf numFmtId="183" fontId="2" fillId="0" borderId="26" xfId="0" applyNumberFormat="1" applyFont="1" applyFill="1" applyBorder="1" applyAlignment="1" applyProtection="1">
      <alignment horizontal="center" vertical="center"/>
    </xf>
    <xf numFmtId="0" fontId="5" fillId="0" borderId="9" xfId="0" applyFont="1" applyFill="1" applyBorder="1" applyAlignment="1" applyProtection="1">
      <alignment horizontal="left" vertical="center"/>
    </xf>
    <xf numFmtId="176" fontId="2" fillId="0" borderId="1" xfId="0" applyNumberFormat="1" applyFont="1" applyFill="1" applyBorder="1" applyAlignment="1" applyProtection="1">
      <alignment vertical="center"/>
    </xf>
    <xf numFmtId="181" fontId="2" fillId="0" borderId="29" xfId="0" applyNumberFormat="1" applyFont="1" applyFill="1" applyBorder="1" applyAlignment="1" applyProtection="1">
      <alignment vertical="center"/>
    </xf>
    <xf numFmtId="180" fontId="2" fillId="0" borderId="9" xfId="0" applyNumberFormat="1" applyFont="1" applyFill="1" applyBorder="1" applyAlignment="1" applyProtection="1">
      <alignment vertical="center"/>
    </xf>
    <xf numFmtId="0" fontId="0" fillId="0" borderId="15" xfId="0" applyFont="1" applyFill="1" applyBorder="1" applyAlignment="1" applyProtection="1">
      <alignment vertical="center"/>
    </xf>
    <xf numFmtId="180" fontId="2" fillId="0" borderId="1" xfId="0" applyNumberFormat="1" applyFont="1" applyFill="1" applyBorder="1" applyAlignment="1" applyProtection="1">
      <alignment vertical="center"/>
    </xf>
    <xf numFmtId="182" fontId="2" fillId="0" borderId="1" xfId="0" applyNumberFormat="1" applyFont="1" applyFill="1" applyBorder="1" applyAlignment="1" applyProtection="1">
      <alignment horizontal="center" vertical="center"/>
    </xf>
    <xf numFmtId="182" fontId="2" fillId="0" borderId="1" xfId="0" applyNumberFormat="1" applyFont="1" applyFill="1" applyBorder="1" applyAlignment="1" applyProtection="1">
      <alignment horizontal="right" vertical="center"/>
    </xf>
    <xf numFmtId="176" fontId="2" fillId="0" borderId="1" xfId="1" applyNumberFormat="1" applyFont="1" applyFill="1" applyBorder="1" applyAlignment="1" applyProtection="1">
      <alignment vertical="center"/>
    </xf>
    <xf numFmtId="181" fontId="2" fillId="0" borderId="30" xfId="0" applyNumberFormat="1" applyFont="1" applyFill="1" applyBorder="1" applyAlignment="1" applyProtection="1">
      <alignment vertical="center"/>
    </xf>
    <xf numFmtId="0" fontId="0" fillId="0" borderId="2" xfId="0" applyFont="1" applyFill="1" applyBorder="1" applyAlignment="1" applyProtection="1">
      <alignment vertical="center"/>
    </xf>
    <xf numFmtId="179" fontId="2" fillId="0" borderId="5" xfId="0" applyNumberFormat="1" applyFont="1" applyBorder="1" applyAlignment="1" applyProtection="1">
      <alignment vertical="center"/>
    </xf>
    <xf numFmtId="0" fontId="2" fillId="0" borderId="3" xfId="0" applyFont="1" applyFill="1" applyBorder="1" applyAlignment="1" applyProtection="1">
      <alignment horizontal="center" vertical="center"/>
    </xf>
    <xf numFmtId="183" fontId="2" fillId="0" borderId="18" xfId="0" applyNumberFormat="1" applyFont="1" applyFill="1" applyBorder="1" applyAlignment="1" applyProtection="1">
      <alignment horizontal="right" vertical="center"/>
    </xf>
    <xf numFmtId="0" fontId="0" fillId="0" borderId="27" xfId="0" applyFont="1" applyFill="1" applyBorder="1" applyAlignment="1" applyProtection="1">
      <alignment vertical="center"/>
    </xf>
    <xf numFmtId="176" fontId="2" fillId="0" borderId="9" xfId="0" applyNumberFormat="1" applyFont="1" applyFill="1" applyBorder="1" applyAlignment="1" applyProtection="1">
      <alignment vertical="center"/>
    </xf>
    <xf numFmtId="0" fontId="2" fillId="0" borderId="5" xfId="0" applyFont="1" applyFill="1" applyBorder="1" applyAlignment="1" applyProtection="1">
      <alignment horizontal="center" vertical="center"/>
    </xf>
    <xf numFmtId="176" fontId="2" fillId="0" borderId="18" xfId="0" applyNumberFormat="1" applyFont="1" applyFill="1" applyBorder="1" applyAlignment="1" applyProtection="1">
      <alignment vertical="center"/>
    </xf>
    <xf numFmtId="181" fontId="2" fillId="0" borderId="31" xfId="0" applyNumberFormat="1" applyFont="1" applyFill="1" applyBorder="1" applyAlignment="1" applyProtection="1">
      <alignment vertical="center"/>
    </xf>
    <xf numFmtId="180" fontId="2" fillId="0" borderId="18" xfId="0" applyNumberFormat="1" applyFont="1" applyFill="1" applyBorder="1" applyAlignment="1" applyProtection="1">
      <alignment vertical="center"/>
    </xf>
    <xf numFmtId="0" fontId="0" fillId="0" borderId="27" xfId="0" applyFill="1" applyBorder="1" applyAlignment="1" applyProtection="1">
      <alignment vertical="center"/>
    </xf>
    <xf numFmtId="183" fontId="2" fillId="0" borderId="5" xfId="0" applyNumberFormat="1" applyFont="1" applyFill="1" applyBorder="1" applyAlignment="1" applyProtection="1">
      <alignment horizontal="center" vertical="center"/>
    </xf>
    <xf numFmtId="178" fontId="2" fillId="0" borderId="4" xfId="0" applyNumberFormat="1" applyFont="1" applyBorder="1" applyAlignment="1" applyProtection="1">
      <alignment vertical="center" shrinkToFit="1"/>
    </xf>
    <xf numFmtId="0" fontId="2" fillId="0" borderId="28" xfId="0" applyFont="1" applyFill="1" applyBorder="1" applyAlignment="1" applyProtection="1">
      <alignment vertical="center" shrinkToFit="1"/>
    </xf>
    <xf numFmtId="178" fontId="2" fillId="0" borderId="0" xfId="0" applyNumberFormat="1" applyFont="1" applyBorder="1" applyAlignment="1" applyProtection="1">
      <alignment vertical="center" shrinkToFit="1"/>
    </xf>
    <xf numFmtId="0" fontId="2" fillId="0" borderId="4" xfId="0" applyFont="1" applyBorder="1" applyAlignment="1" applyProtection="1">
      <alignment vertical="center" shrinkToFit="1"/>
    </xf>
    <xf numFmtId="0" fontId="8" fillId="0" borderId="0" xfId="0" applyFont="1" applyBorder="1" applyAlignment="1" applyProtection="1">
      <alignment horizontal="center" vertical="center"/>
    </xf>
    <xf numFmtId="0" fontId="8" fillId="0" borderId="0" xfId="0" applyFont="1" applyBorder="1" applyAlignment="1" applyProtection="1">
      <alignment horizontal="centerContinuous" vertical="center"/>
    </xf>
    <xf numFmtId="0" fontId="2" fillId="0" borderId="0" xfId="0" quotePrefix="1" applyFont="1" applyBorder="1" applyAlignment="1" applyProtection="1">
      <alignment horizontal="right" vertical="center"/>
    </xf>
    <xf numFmtId="0" fontId="2" fillId="0" borderId="4" xfId="0" applyFont="1" applyFill="1" applyBorder="1" applyAlignment="1" applyProtection="1">
      <alignment vertical="center" shrinkToFit="1"/>
    </xf>
    <xf numFmtId="0" fontId="2" fillId="0" borderId="6" xfId="0" applyFont="1" applyFill="1" applyBorder="1" applyAlignment="1" applyProtection="1">
      <alignment horizontal="right" vertical="center"/>
    </xf>
    <xf numFmtId="182" fontId="2" fillId="0" borderId="9" xfId="0" applyNumberFormat="1" applyFont="1" applyFill="1" applyBorder="1" applyAlignment="1" applyProtection="1">
      <alignment vertical="center"/>
    </xf>
    <xf numFmtId="182" fontId="2" fillId="0" borderId="1" xfId="0" applyNumberFormat="1" applyFont="1" applyFill="1" applyBorder="1" applyAlignment="1" applyProtection="1">
      <alignment vertical="center"/>
    </xf>
    <xf numFmtId="182" fontId="2" fillId="0" borderId="18" xfId="0" applyNumberFormat="1" applyFont="1" applyFill="1" applyBorder="1" applyAlignment="1" applyProtection="1">
      <alignment vertical="center"/>
    </xf>
    <xf numFmtId="0" fontId="2" fillId="2" borderId="6" xfId="0" applyFont="1" applyFill="1" applyBorder="1" applyAlignment="1" applyProtection="1">
      <alignment horizontal="right" vertical="center"/>
      <protection locked="0"/>
    </xf>
    <xf numFmtId="183" fontId="2" fillId="2" borderId="26" xfId="0" applyNumberFormat="1" applyFont="1" applyFill="1" applyBorder="1" applyAlignment="1" applyProtection="1">
      <alignment horizontal="center" vertical="center"/>
      <protection locked="0"/>
    </xf>
    <xf numFmtId="183" fontId="2" fillId="2" borderId="5" xfId="0" applyNumberFormat="1" applyFont="1" applyFill="1" applyBorder="1" applyAlignment="1" applyProtection="1">
      <alignment horizontal="center" vertical="center"/>
      <protection locked="0"/>
    </xf>
    <xf numFmtId="182"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vertical="center"/>
      <protection locked="0"/>
    </xf>
    <xf numFmtId="181" fontId="2" fillId="2" borderId="0" xfId="0" applyNumberFormat="1" applyFont="1" applyFill="1" applyBorder="1" applyAlignment="1" applyProtection="1">
      <alignment vertical="center"/>
      <protection locked="0"/>
    </xf>
    <xf numFmtId="180" fontId="2" fillId="2" borderId="9" xfId="0" applyNumberFormat="1" applyFont="1" applyFill="1" applyBorder="1" applyAlignment="1" applyProtection="1">
      <alignment vertical="center"/>
      <protection locked="0"/>
    </xf>
    <xf numFmtId="180" fontId="2" fillId="2" borderId="1" xfId="0" applyNumberFormat="1" applyFont="1" applyFill="1" applyBorder="1" applyAlignment="1" applyProtection="1">
      <alignment vertical="center"/>
      <protection locked="0"/>
    </xf>
    <xf numFmtId="180" fontId="2" fillId="2" borderId="18" xfId="0" applyNumberFormat="1" applyFont="1" applyFill="1" applyBorder="1" applyAlignment="1" applyProtection="1">
      <alignment vertical="center"/>
      <protection locked="0"/>
    </xf>
    <xf numFmtId="0" fontId="0" fillId="2" borderId="15" xfId="0" applyFont="1" applyFill="1" applyBorder="1" applyAlignment="1" applyProtection="1">
      <alignment vertical="center"/>
      <protection locked="0"/>
    </xf>
    <xf numFmtId="0" fontId="0" fillId="2" borderId="2" xfId="0" applyFont="1" applyFill="1" applyBorder="1" applyAlignment="1" applyProtection="1">
      <alignment vertical="center"/>
      <protection locked="0"/>
    </xf>
    <xf numFmtId="0" fontId="0" fillId="2" borderId="27" xfId="0" applyFont="1" applyFill="1" applyBorder="1" applyAlignment="1" applyProtection="1">
      <alignment vertical="center"/>
      <protection locked="0"/>
    </xf>
    <xf numFmtId="0" fontId="0" fillId="2" borderId="27" xfId="0" applyFill="1" applyBorder="1" applyAlignment="1" applyProtection="1">
      <alignment vertical="center"/>
      <protection locked="0"/>
    </xf>
    <xf numFmtId="0" fontId="0" fillId="0" borderId="0" xfId="0" applyFont="1" applyBorder="1" applyAlignment="1" applyProtection="1">
      <alignment vertical="center"/>
    </xf>
    <xf numFmtId="0" fontId="3" fillId="0" borderId="2" xfId="0" applyFont="1" applyBorder="1" applyAlignment="1" applyProtection="1">
      <alignment horizontal="center" vertical="center"/>
    </xf>
    <xf numFmtId="179" fontId="2" fillId="0" borderId="2" xfId="0" applyNumberFormat="1" applyFont="1" applyBorder="1" applyAlignment="1" applyProtection="1">
      <alignment vertical="center"/>
    </xf>
    <xf numFmtId="179" fontId="2" fillId="0" borderId="1" xfId="0" applyNumberFormat="1" applyFont="1" applyBorder="1" applyAlignment="1" applyProtection="1">
      <alignment vertical="center"/>
    </xf>
    <xf numFmtId="185" fontId="2" fillId="0" borderId="8" xfId="0" applyNumberFormat="1" applyFont="1" applyBorder="1" applyAlignment="1" applyProtection="1">
      <alignment vertical="center"/>
    </xf>
    <xf numFmtId="0" fontId="2" fillId="0" borderId="4" xfId="0" applyFont="1" applyFill="1" applyBorder="1" applyAlignment="1" applyProtection="1">
      <alignment vertical="center"/>
    </xf>
    <xf numFmtId="0" fontId="2" fillId="0" borderId="5"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vertical="center"/>
      <protection locked="0"/>
    </xf>
    <xf numFmtId="0" fontId="5" fillId="3" borderId="9" xfId="0" applyFont="1" applyFill="1" applyBorder="1" applyAlignment="1" applyProtection="1">
      <alignment horizontal="left" vertical="center"/>
      <protection locked="0"/>
    </xf>
    <xf numFmtId="187" fontId="1" fillId="0" borderId="25" xfId="0" applyNumberFormat="1" applyFont="1" applyFill="1" applyBorder="1" applyAlignment="1" applyProtection="1">
      <alignment horizontal="right" vertical="center"/>
    </xf>
    <xf numFmtId="0" fontId="1" fillId="0" borderId="0" xfId="0" applyFont="1" applyFill="1" applyBorder="1" applyProtection="1"/>
    <xf numFmtId="187" fontId="1" fillId="0" borderId="25" xfId="0" applyNumberFormat="1" applyFont="1" applyFill="1" applyBorder="1" applyProtection="1"/>
    <xf numFmtId="0" fontId="1" fillId="0" borderId="0" xfId="0" applyFont="1" applyFill="1" applyBorder="1" applyAlignment="1" applyProtection="1">
      <alignment horizontal="center"/>
    </xf>
    <xf numFmtId="179" fontId="1" fillId="0" borderId="25" xfId="0" applyNumberFormat="1" applyFont="1" applyFill="1" applyBorder="1" applyProtection="1"/>
    <xf numFmtId="0" fontId="0" fillId="0" borderId="0" xfId="0" applyFill="1" applyBorder="1" applyAlignment="1" applyProtection="1">
      <alignment horizontal="center"/>
    </xf>
    <xf numFmtId="0" fontId="1" fillId="0" borderId="0" xfId="0" applyFont="1" applyFill="1" applyBorder="1" applyAlignment="1" applyProtection="1">
      <alignment horizontal="center" vertical="center" shrinkToFit="1"/>
      <protection locked="0"/>
    </xf>
    <xf numFmtId="0" fontId="1" fillId="0" borderId="0" xfId="0" applyFont="1" applyFill="1" applyBorder="1" applyAlignment="1" applyProtection="1">
      <alignment horizontal="center" vertical="center" shrinkToFit="1"/>
    </xf>
    <xf numFmtId="0" fontId="0" fillId="0" borderId="0" xfId="0" applyFill="1" applyBorder="1" applyAlignment="1" applyProtection="1">
      <alignment horizontal="center" vertical="center" shrinkToFit="1"/>
    </xf>
    <xf numFmtId="0" fontId="1" fillId="0" borderId="0" xfId="0" applyFont="1" applyFill="1" applyBorder="1" applyAlignment="1" applyProtection="1">
      <alignment horizontal="right" vertical="center"/>
    </xf>
    <xf numFmtId="0" fontId="1" fillId="0" borderId="0" xfId="0" applyFont="1" applyFill="1" applyBorder="1" applyAlignment="1" applyProtection="1">
      <alignment horizontal="right" vertical="center"/>
      <protection locked="0"/>
    </xf>
    <xf numFmtId="187"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vertical="center"/>
      <protection locked="0"/>
    </xf>
    <xf numFmtId="179" fontId="1" fillId="0" borderId="0" xfId="0" applyNumberFormat="1" applyFont="1" applyFill="1" applyBorder="1" applyAlignment="1" applyProtection="1">
      <alignment horizontal="right" vertical="center"/>
    </xf>
    <xf numFmtId="0" fontId="0" fillId="0" borderId="0" xfId="0" applyFill="1" applyBorder="1" applyAlignment="1" applyProtection="1">
      <alignment horizontal="center" vertical="center"/>
    </xf>
    <xf numFmtId="187" fontId="0" fillId="0" borderId="0" xfId="0" applyNumberFormat="1" applyFill="1" applyBorder="1" applyAlignment="1" applyProtection="1">
      <alignment horizontal="center" vertical="center"/>
    </xf>
    <xf numFmtId="0" fontId="1" fillId="0" borderId="0" xfId="0" applyNumberFormat="1" applyFont="1" applyFill="1" applyBorder="1" applyAlignment="1" applyProtection="1">
      <alignment horizontal="right" vertical="center"/>
    </xf>
    <xf numFmtId="0" fontId="1" fillId="0" borderId="0" xfId="0" applyFont="1" applyFill="1" applyBorder="1" applyProtection="1">
      <protection locked="0"/>
    </xf>
    <xf numFmtId="187" fontId="1" fillId="0" borderId="0" xfId="0" applyNumberFormat="1" applyFont="1" applyFill="1" applyBorder="1" applyProtection="1"/>
    <xf numFmtId="0" fontId="0" fillId="0" borderId="0" xfId="0" applyFill="1" applyBorder="1" applyProtection="1"/>
    <xf numFmtId="0" fontId="1" fillId="0" borderId="0" xfId="0" applyFont="1" applyFill="1" applyBorder="1" applyAlignment="1" applyProtection="1">
      <alignment horizontal="right"/>
    </xf>
    <xf numFmtId="179" fontId="1" fillId="0" borderId="0" xfId="0" applyNumberFormat="1" applyFont="1" applyFill="1" applyBorder="1" applyProtection="1"/>
    <xf numFmtId="187" fontId="0" fillId="0" borderId="0" xfId="0" applyNumberFormat="1" applyFill="1" applyBorder="1" applyAlignment="1" applyProtection="1">
      <alignment horizontal="center"/>
    </xf>
    <xf numFmtId="179" fontId="1" fillId="4" borderId="25" xfId="0" applyNumberFormat="1" applyFont="1" applyFill="1" applyBorder="1" applyAlignment="1" applyProtection="1">
      <alignment horizontal="right" vertical="center"/>
    </xf>
    <xf numFmtId="179" fontId="1" fillId="4" borderId="25" xfId="0" applyNumberFormat="1" applyFont="1" applyFill="1" applyBorder="1" applyProtection="1"/>
    <xf numFmtId="0" fontId="2" fillId="4" borderId="4" xfId="0" applyFont="1" applyFill="1" applyBorder="1" applyAlignment="1" applyProtection="1">
      <alignment horizontal="right" vertical="center"/>
    </xf>
    <xf numFmtId="0" fontId="2" fillId="4" borderId="4" xfId="0" applyFont="1" applyFill="1" applyBorder="1" applyAlignment="1" applyProtection="1">
      <alignment vertical="center"/>
    </xf>
    <xf numFmtId="0" fontId="2" fillId="4" borderId="4" xfId="0" applyFont="1" applyFill="1" applyBorder="1" applyAlignment="1" applyProtection="1">
      <alignment vertical="center" shrinkToFit="1"/>
    </xf>
    <xf numFmtId="0" fontId="0" fillId="0" borderId="0" xfId="0" applyBorder="1" applyProtection="1"/>
    <xf numFmtId="0" fontId="2" fillId="0" borderId="4" xfId="0" applyFont="1" applyFill="1" applyBorder="1" applyAlignment="1" applyProtection="1">
      <alignment horizontal="right" vertical="center"/>
      <protection locked="0"/>
    </xf>
    <xf numFmtId="0" fontId="0" fillId="0" borderId="0" xfId="0" applyBorder="1" applyAlignment="1" applyProtection="1">
      <alignment vertical="center"/>
    </xf>
    <xf numFmtId="0" fontId="0" fillId="0" borderId="6" xfId="0" applyBorder="1" applyAlignment="1" applyProtection="1">
      <alignment vertical="center"/>
    </xf>
    <xf numFmtId="185" fontId="2" fillId="0" borderId="9" xfId="0" applyNumberFormat="1" applyFont="1" applyBorder="1" applyAlignment="1" applyProtection="1">
      <alignment horizontal="center" vertical="center"/>
    </xf>
    <xf numFmtId="185" fontId="2" fillId="0" borderId="1" xfId="0" applyNumberFormat="1" applyFont="1" applyBorder="1" applyAlignment="1" applyProtection="1">
      <alignment horizontal="center" vertical="center"/>
    </xf>
    <xf numFmtId="185" fontId="2" fillId="0" borderId="18" xfId="0" applyNumberFormat="1"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6" xfId="0" applyBorder="1" applyAlignment="1" applyProtection="1">
      <alignment vertical="center"/>
    </xf>
    <xf numFmtId="0" fontId="2" fillId="0" borderId="0" xfId="0" applyFont="1" applyBorder="1" applyAlignment="1" applyProtection="1">
      <alignment horizontal="center" vertical="center"/>
    </xf>
    <xf numFmtId="185" fontId="2" fillId="0" borderId="9" xfId="0" applyNumberFormat="1" applyFont="1" applyBorder="1" applyAlignment="1" applyProtection="1">
      <alignment horizontal="center" vertical="center"/>
    </xf>
    <xf numFmtId="185" fontId="2" fillId="0" borderId="1" xfId="0" applyNumberFormat="1" applyFont="1" applyBorder="1" applyAlignment="1" applyProtection="1">
      <alignment horizontal="center" vertical="center"/>
    </xf>
    <xf numFmtId="185" fontId="2" fillId="0" borderId="18" xfId="0" applyNumberFormat="1"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176" fontId="2" fillId="0" borderId="0" xfId="0" applyNumberFormat="1" applyFont="1" applyBorder="1" applyAlignment="1" applyProtection="1">
      <alignment horizontal="center" vertical="center"/>
    </xf>
    <xf numFmtId="185" fontId="2" fillId="0" borderId="0" xfId="0" applyNumberFormat="1" applyFont="1" applyBorder="1" applyAlignment="1" applyProtection="1">
      <alignment vertical="center"/>
    </xf>
    <xf numFmtId="0" fontId="0" fillId="2" borderId="15" xfId="0" applyFill="1" applyBorder="1" applyAlignment="1" applyProtection="1">
      <alignment vertical="center"/>
      <protection locked="0"/>
    </xf>
    <xf numFmtId="0" fontId="0" fillId="6" borderId="8" xfId="0" applyFill="1" applyBorder="1" applyProtection="1"/>
    <xf numFmtId="0" fontId="0" fillId="0" borderId="22" xfId="0" applyBorder="1" applyProtection="1"/>
    <xf numFmtId="0" fontId="0" fillId="0" borderId="27" xfId="0" applyBorder="1" applyProtection="1"/>
    <xf numFmtId="0" fontId="2" fillId="0" borderId="8" xfId="0" applyFont="1" applyBorder="1" applyAlignment="1" applyProtection="1">
      <alignment horizontal="center" vertical="center"/>
    </xf>
    <xf numFmtId="0" fontId="1" fillId="0" borderId="38" xfId="0" applyFont="1" applyBorder="1" applyAlignment="1" applyProtection="1">
      <alignment horizontal="center" vertical="center" shrinkToFit="1"/>
    </xf>
    <xf numFmtId="0" fontId="0" fillId="0" borderId="38" xfId="0" applyBorder="1" applyAlignment="1" applyProtection="1">
      <alignment horizontal="center" vertical="center" shrinkToFit="1"/>
    </xf>
    <xf numFmtId="0" fontId="1" fillId="0" borderId="9" xfId="0" applyFont="1" applyBorder="1" applyAlignment="1" applyProtection="1">
      <alignment horizontal="center" vertical="center" shrinkToFit="1"/>
    </xf>
    <xf numFmtId="0" fontId="0" fillId="0" borderId="9" xfId="0" applyBorder="1" applyAlignment="1" applyProtection="1">
      <alignment horizontal="center" vertical="center" shrinkToFit="1"/>
    </xf>
    <xf numFmtId="0" fontId="0" fillId="7" borderId="0" xfId="0" applyFill="1" applyAlignment="1" applyProtection="1">
      <alignment vertical="center"/>
    </xf>
    <xf numFmtId="0" fontId="1" fillId="7" borderId="0" xfId="0" applyFont="1" applyFill="1" applyBorder="1" applyAlignment="1" applyProtection="1">
      <alignment horizontal="center" vertical="center"/>
    </xf>
    <xf numFmtId="0" fontId="1" fillId="7" borderId="0" xfId="0" applyFont="1" applyFill="1" applyBorder="1" applyAlignment="1" applyProtection="1">
      <alignment vertical="center"/>
    </xf>
    <xf numFmtId="0" fontId="0" fillId="7" borderId="0" xfId="0" applyFill="1" applyBorder="1" applyAlignment="1" applyProtection="1">
      <alignment vertical="center"/>
    </xf>
    <xf numFmtId="0" fontId="1" fillId="7" borderId="0" xfId="0" applyFont="1" applyFill="1" applyBorder="1" applyAlignment="1" applyProtection="1">
      <alignment horizontal="center" vertical="center" shrinkToFit="1"/>
      <protection locked="0"/>
    </xf>
    <xf numFmtId="0" fontId="1" fillId="7" borderId="0" xfId="0" applyFont="1" applyFill="1" applyBorder="1" applyAlignment="1" applyProtection="1">
      <alignment horizontal="center" vertical="center" shrinkToFit="1"/>
    </xf>
    <xf numFmtId="0" fontId="0" fillId="7" borderId="0" xfId="0" applyFill="1" applyBorder="1" applyAlignment="1" applyProtection="1">
      <alignment horizontal="center" vertical="center" shrinkToFit="1"/>
    </xf>
    <xf numFmtId="0" fontId="1" fillId="7" borderId="0" xfId="0" applyFont="1" applyFill="1" applyBorder="1" applyAlignment="1" applyProtection="1">
      <alignment horizontal="right" vertical="center"/>
    </xf>
    <xf numFmtId="0" fontId="1" fillId="7" borderId="0" xfId="0" applyFont="1" applyFill="1" applyBorder="1" applyAlignment="1" applyProtection="1">
      <alignment horizontal="right" vertical="center"/>
      <protection locked="0"/>
    </xf>
    <xf numFmtId="187" fontId="1" fillId="7" borderId="0" xfId="0" applyNumberFormat="1" applyFont="1" applyFill="1" applyBorder="1" applyAlignment="1" applyProtection="1">
      <alignment horizontal="right" vertical="center"/>
    </xf>
    <xf numFmtId="179" fontId="1" fillId="7" borderId="0" xfId="0" applyNumberFormat="1" applyFont="1" applyFill="1" applyBorder="1" applyAlignment="1" applyProtection="1">
      <alignment horizontal="right" vertical="center"/>
    </xf>
    <xf numFmtId="179" fontId="9" fillId="7" borderId="0" xfId="0" applyNumberFormat="1" applyFont="1" applyFill="1" applyBorder="1" applyAlignment="1" applyProtection="1">
      <alignment vertical="center"/>
    </xf>
    <xf numFmtId="0" fontId="0" fillId="7" borderId="0" xfId="0" applyFill="1" applyBorder="1" applyAlignment="1" applyProtection="1">
      <alignment horizontal="center" vertical="center"/>
    </xf>
    <xf numFmtId="187" fontId="0" fillId="7" borderId="0" xfId="0" applyNumberFormat="1" applyFill="1" applyBorder="1" applyAlignment="1" applyProtection="1">
      <alignment horizontal="center" vertical="center"/>
    </xf>
    <xf numFmtId="0" fontId="1" fillId="7" borderId="0" xfId="0" applyNumberFormat="1" applyFont="1" applyFill="1" applyBorder="1" applyAlignment="1" applyProtection="1">
      <alignment horizontal="right" vertical="center"/>
    </xf>
    <xf numFmtId="187" fontId="1" fillId="7" borderId="0" xfId="0" applyNumberFormat="1" applyFont="1" applyFill="1" applyBorder="1" applyAlignment="1" applyProtection="1">
      <alignment vertical="center"/>
    </xf>
    <xf numFmtId="0" fontId="0" fillId="7" borderId="0" xfId="0" applyFill="1"/>
    <xf numFmtId="0" fontId="1" fillId="7" borderId="0" xfId="0" applyFont="1" applyFill="1" applyBorder="1" applyAlignment="1" applyProtection="1">
      <alignment horizontal="center"/>
    </xf>
    <xf numFmtId="0" fontId="1" fillId="7" borderId="0" xfId="0" applyFont="1" applyFill="1" applyBorder="1" applyProtection="1"/>
    <xf numFmtId="0" fontId="1" fillId="7" borderId="0" xfId="0" applyFont="1" applyFill="1" applyBorder="1" applyProtection="1">
      <protection locked="0"/>
    </xf>
    <xf numFmtId="187" fontId="1" fillId="7" borderId="0" xfId="0" applyNumberFormat="1" applyFont="1" applyFill="1" applyBorder="1" applyProtection="1"/>
    <xf numFmtId="0" fontId="0" fillId="7" borderId="0" xfId="0" applyFill="1" applyBorder="1" applyProtection="1"/>
    <xf numFmtId="0" fontId="1" fillId="7" borderId="0" xfId="0" applyFont="1" applyFill="1" applyBorder="1" applyAlignment="1" applyProtection="1">
      <alignment horizontal="right"/>
    </xf>
    <xf numFmtId="179" fontId="1" fillId="7" borderId="0" xfId="0" applyNumberFormat="1" applyFont="1" applyFill="1" applyBorder="1" applyProtection="1"/>
    <xf numFmtId="0" fontId="0" fillId="7" borderId="0" xfId="0" applyFill="1" applyBorder="1" applyAlignment="1" applyProtection="1">
      <alignment horizontal="center"/>
    </xf>
    <xf numFmtId="187" fontId="0" fillId="7" borderId="0" xfId="0" applyNumberFormat="1" applyFill="1" applyBorder="1" applyAlignment="1" applyProtection="1">
      <alignment horizontal="center"/>
    </xf>
    <xf numFmtId="0" fontId="1" fillId="7" borderId="0" xfId="0" applyFont="1" applyFill="1" applyBorder="1" applyAlignment="1" applyProtection="1">
      <alignment vertical="center"/>
      <protection locked="0"/>
    </xf>
    <xf numFmtId="0" fontId="10" fillId="0" borderId="0" xfId="0" applyFont="1" applyBorder="1" applyProtection="1"/>
    <xf numFmtId="0" fontId="0" fillId="0" borderId="0" xfId="0" applyBorder="1" applyAlignment="1" applyProtection="1">
      <alignment horizontal="left" vertical="center"/>
    </xf>
    <xf numFmtId="0" fontId="0" fillId="6" borderId="8" xfId="0" applyFill="1" applyBorder="1" applyAlignment="1" applyProtection="1">
      <alignment horizontal="center"/>
    </xf>
    <xf numFmtId="0" fontId="1" fillId="0" borderId="12" xfId="0" applyFont="1" applyFill="1" applyBorder="1" applyAlignment="1" applyProtection="1">
      <alignment vertical="center"/>
    </xf>
    <xf numFmtId="0" fontId="1" fillId="0" borderId="12" xfId="0" applyFont="1" applyBorder="1" applyAlignment="1" applyProtection="1">
      <alignment vertical="center"/>
    </xf>
    <xf numFmtId="0" fontId="1" fillId="0" borderId="15" xfId="0" applyFont="1" applyBorder="1" applyAlignment="1" applyProtection="1">
      <alignment vertical="center"/>
    </xf>
    <xf numFmtId="0" fontId="1" fillId="0" borderId="5" xfId="0" applyFont="1" applyBorder="1" applyAlignment="1" applyProtection="1">
      <alignment horizontal="center" vertical="center"/>
    </xf>
    <xf numFmtId="0" fontId="1" fillId="0" borderId="5" xfId="0" applyFont="1" applyBorder="1" applyAlignment="1" applyProtection="1">
      <alignment vertical="center"/>
    </xf>
    <xf numFmtId="0" fontId="0" fillId="0" borderId="2" xfId="0" applyBorder="1" applyProtection="1"/>
    <xf numFmtId="0" fontId="0" fillId="0" borderId="5" xfId="0" applyBorder="1" applyAlignment="1" applyProtection="1">
      <alignment vertical="center"/>
    </xf>
    <xf numFmtId="0" fontId="1" fillId="0" borderId="3" xfId="0" applyFont="1" applyBorder="1" applyAlignment="1" applyProtection="1">
      <alignment vertical="center"/>
    </xf>
    <xf numFmtId="0" fontId="0" fillId="0" borderId="15" xfId="0" applyBorder="1" applyProtection="1"/>
    <xf numFmtId="0" fontId="0" fillId="0" borderId="12" xfId="0" applyBorder="1" applyProtection="1"/>
    <xf numFmtId="0" fontId="0" fillId="0" borderId="5" xfId="0" applyBorder="1" applyProtection="1"/>
    <xf numFmtId="0" fontId="0" fillId="0" borderId="0" xfId="0" applyBorder="1" applyAlignment="1" applyProtection="1">
      <alignment horizontal="center" vertical="center"/>
    </xf>
    <xf numFmtId="0" fontId="0" fillId="0" borderId="3" xfId="0" applyBorder="1" applyProtection="1"/>
    <xf numFmtId="0" fontId="0" fillId="0" borderId="15" xfId="0" applyFill="1" applyBorder="1" applyAlignment="1" applyProtection="1">
      <alignment vertical="center"/>
    </xf>
    <xf numFmtId="0" fontId="0" fillId="0" borderId="2" xfId="0" applyBorder="1" applyAlignment="1" applyProtection="1">
      <alignment vertical="center"/>
    </xf>
    <xf numFmtId="0" fontId="0" fillId="0" borderId="2" xfId="0" applyFill="1" applyBorder="1" applyAlignment="1" applyProtection="1">
      <alignment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horizontal="center" vertical="center"/>
    </xf>
    <xf numFmtId="0" fontId="1" fillId="0" borderId="27" xfId="0" applyFont="1" applyFill="1" applyBorder="1" applyAlignment="1" applyProtection="1">
      <alignment vertical="center"/>
    </xf>
    <xf numFmtId="0" fontId="0" fillId="0" borderId="33" xfId="0" applyBorder="1" applyProtection="1"/>
    <xf numFmtId="0" fontId="0" fillId="0" borderId="34" xfId="0" applyBorder="1" applyProtection="1"/>
    <xf numFmtId="0" fontId="0" fillId="0" borderId="35" xfId="0" applyBorder="1" applyProtection="1"/>
    <xf numFmtId="0" fontId="1" fillId="0" borderId="5" xfId="0" applyFont="1" applyFill="1" applyBorder="1" applyAlignment="1" applyProtection="1">
      <alignment horizontal="center" vertical="center"/>
    </xf>
    <xf numFmtId="0" fontId="0" fillId="0" borderId="34" xfId="0" applyFont="1" applyFill="1" applyBorder="1" applyAlignment="1" applyProtection="1">
      <alignment vertical="center"/>
    </xf>
    <xf numFmtId="0" fontId="1" fillId="0" borderId="35" xfId="0" applyFont="1" applyFill="1" applyBorder="1" applyAlignment="1" applyProtection="1">
      <alignment vertical="center"/>
    </xf>
    <xf numFmtId="0" fontId="0" fillId="2" borderId="7" xfId="0" applyFill="1" applyBorder="1" applyAlignment="1" applyProtection="1">
      <alignment horizontal="center" vertical="center"/>
      <protection locked="0"/>
    </xf>
    <xf numFmtId="0" fontId="0" fillId="0" borderId="25" xfId="0" applyBorder="1" applyAlignment="1" applyProtection="1">
      <alignment horizontal="center"/>
    </xf>
    <xf numFmtId="0" fontId="2" fillId="0" borderId="0" xfId="0" applyFont="1" applyBorder="1" applyAlignment="1" applyProtection="1">
      <alignment horizontal="center" vertical="center"/>
    </xf>
    <xf numFmtId="0" fontId="1" fillId="0" borderId="22" xfId="0" applyFont="1" applyBorder="1" applyAlignment="1" applyProtection="1">
      <alignment vertical="center"/>
    </xf>
    <xf numFmtId="0" fontId="1" fillId="0" borderId="22" xfId="0" applyFont="1" applyBorder="1" applyAlignment="1" applyProtection="1">
      <alignment horizontal="center" vertical="center"/>
    </xf>
    <xf numFmtId="187" fontId="1" fillId="0" borderId="22" xfId="0" applyNumberFormat="1" applyFont="1" applyFill="1" applyBorder="1" applyAlignment="1" applyProtection="1">
      <alignment vertical="center"/>
    </xf>
    <xf numFmtId="0" fontId="1" fillId="0" borderId="22" xfId="0" applyFont="1" applyFill="1" applyBorder="1" applyAlignment="1" applyProtection="1">
      <alignment vertical="center"/>
    </xf>
    <xf numFmtId="0" fontId="1" fillId="0" borderId="22" xfId="0" applyFont="1" applyFill="1" applyBorder="1" applyAlignment="1" applyProtection="1">
      <alignment horizontal="center" vertical="center"/>
    </xf>
    <xf numFmtId="0" fontId="1" fillId="4" borderId="39" xfId="0" applyNumberFormat="1" applyFont="1" applyFill="1" applyBorder="1" applyAlignment="1" applyProtection="1">
      <alignment horizontal="right" vertical="center"/>
    </xf>
    <xf numFmtId="0" fontId="0" fillId="0" borderId="6" xfId="0" applyBorder="1" applyProtection="1"/>
    <xf numFmtId="0" fontId="0" fillId="0" borderId="1" xfId="0" applyBorder="1" applyProtection="1"/>
    <xf numFmtId="0" fontId="0" fillId="0" borderId="1" xfId="0" applyBorder="1" applyAlignment="1" applyProtection="1">
      <alignment horizontal="left"/>
    </xf>
    <xf numFmtId="0" fontId="1" fillId="0" borderId="25" xfId="0" applyFont="1" applyFill="1" applyBorder="1" applyAlignment="1" applyProtection="1">
      <alignment horizontal="center" vertical="center"/>
    </xf>
    <xf numFmtId="0" fontId="7" fillId="0" borderId="0" xfId="0" applyFont="1" applyAlignment="1">
      <alignment horizontal="center"/>
    </xf>
    <xf numFmtId="0" fontId="12" fillId="0" borderId="0" xfId="0" applyFont="1" applyAlignment="1">
      <alignment horizontal="left"/>
    </xf>
    <xf numFmtId="0" fontId="7" fillId="0" borderId="0" xfId="0" applyFont="1" applyBorder="1" applyAlignment="1" applyProtection="1">
      <alignment vertical="center"/>
    </xf>
    <xf numFmtId="0" fontId="0" fillId="0" borderId="0" xfId="0" applyAlignment="1">
      <alignment vertical="center" wrapText="1"/>
    </xf>
    <xf numFmtId="0" fontId="0" fillId="6" borderId="25" xfId="0" applyFill="1" applyBorder="1" applyAlignment="1" applyProtection="1">
      <alignment vertical="center"/>
    </xf>
    <xf numFmtId="0" fontId="0" fillId="0" borderId="0" xfId="0" applyBorder="1" applyAlignment="1" applyProtection="1">
      <alignment wrapText="1"/>
    </xf>
    <xf numFmtId="0" fontId="0" fillId="0" borderId="2" xfId="0" applyBorder="1" applyAlignment="1" applyProtection="1">
      <alignment wrapText="1"/>
    </xf>
    <xf numFmtId="0" fontId="14" fillId="0" borderId="0" xfId="0" applyFont="1"/>
    <xf numFmtId="0" fontId="17" fillId="0" borderId="0" xfId="0" applyFont="1" applyAlignment="1">
      <alignment horizontal="center"/>
    </xf>
    <xf numFmtId="0" fontId="16" fillId="0" borderId="0" xfId="0" applyFont="1" applyAlignment="1">
      <alignment vertical="center"/>
    </xf>
    <xf numFmtId="0" fontId="0" fillId="0" borderId="33" xfId="0" applyFill="1" applyBorder="1" applyAlignment="1" applyProtection="1">
      <alignment horizontal="left" vertical="center"/>
    </xf>
    <xf numFmtId="0" fontId="13" fillId="0" borderId="0" xfId="0" applyFont="1" applyAlignment="1">
      <alignment vertical="center" wrapText="1"/>
    </xf>
    <xf numFmtId="0" fontId="15" fillId="0" borderId="0" xfId="0" applyFont="1" applyAlignment="1">
      <alignment vertical="center" wrapText="1"/>
    </xf>
    <xf numFmtId="0" fontId="0" fillId="0" borderId="0" xfId="0" applyAlignment="1">
      <alignment horizontal="left" vertical="top" wrapText="1"/>
    </xf>
    <xf numFmtId="0" fontId="19" fillId="0" borderId="0" xfId="0" applyFont="1" applyAlignment="1">
      <alignment vertical="center"/>
    </xf>
    <xf numFmtId="0" fontId="10" fillId="0" borderId="0" xfId="0" applyFont="1"/>
    <xf numFmtId="0" fontId="10" fillId="0" borderId="0" xfId="0" applyFont="1" applyBorder="1"/>
    <xf numFmtId="0" fontId="2" fillId="0" borderId="6"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0" xfId="0" applyFont="1" applyBorder="1" applyAlignment="1" applyProtection="1">
      <alignment horizontal="center" vertical="center"/>
    </xf>
    <xf numFmtId="0" fontId="0" fillId="0" borderId="0" xfId="0" applyBorder="1" applyAlignment="1" applyProtection="1"/>
    <xf numFmtId="0" fontId="0" fillId="0" borderId="2" xfId="0" applyBorder="1" applyAlignment="1" applyProtection="1"/>
    <xf numFmtId="0" fontId="20" fillId="0" borderId="0" xfId="0" applyFont="1" applyBorder="1" applyProtection="1"/>
    <xf numFmtId="0" fontId="2" fillId="0" borderId="0" xfId="0" applyFont="1" applyBorder="1" applyAlignment="1" applyProtection="1">
      <alignment horizontal="center" vertical="center"/>
    </xf>
    <xf numFmtId="0" fontId="0" fillId="0" borderId="8" xfId="0" applyBorder="1"/>
    <xf numFmtId="0" fontId="0" fillId="0" borderId="26" xfId="0" applyBorder="1" applyAlignment="1" applyProtection="1">
      <alignment vertical="center"/>
    </xf>
    <xf numFmtId="0" fontId="0" fillId="0" borderId="12" xfId="0" applyBorder="1"/>
    <xf numFmtId="0" fontId="0" fillId="0" borderId="15" xfId="0" applyBorder="1"/>
    <xf numFmtId="0" fontId="0" fillId="0" borderId="0" xfId="0" applyBorder="1"/>
    <xf numFmtId="0" fontId="0" fillId="0" borderId="2" xfId="0" applyBorder="1"/>
    <xf numFmtId="0" fontId="0" fillId="0" borderId="3" xfId="0" applyBorder="1" applyAlignment="1" applyProtection="1">
      <alignment vertical="center"/>
    </xf>
    <xf numFmtId="0" fontId="0" fillId="0" borderId="22" xfId="0" applyBorder="1"/>
    <xf numFmtId="0" fontId="0" fillId="0" borderId="27" xfId="0" applyBorder="1"/>
    <xf numFmtId="0" fontId="2" fillId="7" borderId="0" xfId="0" applyFont="1" applyFill="1" applyAlignment="1" applyProtection="1">
      <alignment vertical="center"/>
    </xf>
    <xf numFmtId="0" fontId="5" fillId="0" borderId="8" xfId="0" applyFont="1" applyBorder="1" applyAlignment="1" applyProtection="1">
      <alignment horizontal="center" vertical="center"/>
    </xf>
    <xf numFmtId="0" fontId="0" fillId="2" borderId="2" xfId="0" applyFill="1" applyBorder="1" applyAlignment="1" applyProtection="1">
      <alignment vertical="center"/>
      <protection locked="0"/>
    </xf>
    <xf numFmtId="0" fontId="0" fillId="0" borderId="33" xfId="0" applyFill="1" applyBorder="1" applyAlignment="1" applyProtection="1">
      <alignment horizontal="center" vertical="center"/>
    </xf>
    <xf numFmtId="0" fontId="1" fillId="0" borderId="0" xfId="0" applyFont="1" applyFill="1" applyBorder="1" applyAlignment="1" applyProtection="1">
      <alignment horizontal="left" vertical="center"/>
    </xf>
    <xf numFmtId="0" fontId="0" fillId="0" borderId="0" xfId="0" applyFont="1" applyFill="1" applyBorder="1" applyAlignment="1" applyProtection="1">
      <alignment horizontal="left" vertical="center" wrapText="1"/>
    </xf>
    <xf numFmtId="0" fontId="0" fillId="0" borderId="0" xfId="0" applyFill="1" applyBorder="1" applyAlignment="1" applyProtection="1"/>
    <xf numFmtId="0" fontId="2" fillId="0" borderId="8" xfId="0" applyFont="1" applyBorder="1" applyAlignment="1" applyProtection="1">
      <alignment horizontal="center" vertical="center"/>
    </xf>
    <xf numFmtId="0" fontId="28" fillId="0" borderId="0" xfId="0" applyFont="1" applyAlignment="1">
      <alignment horizontal="left"/>
    </xf>
    <xf numFmtId="0" fontId="29" fillId="0" borderId="3" xfId="0" applyFont="1" applyBorder="1" applyProtection="1"/>
    <xf numFmtId="0" fontId="2" fillId="0" borderId="6"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0" borderId="0" xfId="0" applyFont="1" applyBorder="1" applyAlignment="1" applyProtection="1">
      <alignment horizontal="center" vertical="center"/>
    </xf>
    <xf numFmtId="0" fontId="0" fillId="0" borderId="0" xfId="0" applyFill="1" applyBorder="1" applyAlignment="1" applyProtection="1">
      <alignment vertical="center" shrinkToFit="1"/>
    </xf>
    <xf numFmtId="0" fontId="1" fillId="2" borderId="9" xfId="0" applyFont="1" applyFill="1" applyBorder="1" applyAlignment="1" applyProtection="1">
      <alignment horizontal="center" vertical="center" shrinkToFit="1"/>
    </xf>
    <xf numFmtId="0" fontId="0" fillId="2" borderId="38" xfId="0" applyFill="1" applyBorder="1" applyAlignment="1" applyProtection="1">
      <alignment horizontal="center" vertical="center" shrinkToFit="1"/>
    </xf>
    <xf numFmtId="0" fontId="0" fillId="5" borderId="8" xfId="0" applyFill="1" applyBorder="1" applyAlignment="1" applyProtection="1">
      <alignment horizontal="center"/>
      <protection locked="0"/>
    </xf>
    <xf numFmtId="0" fontId="2" fillId="0" borderId="4" xfId="0" applyFont="1" applyFill="1" applyBorder="1" applyAlignment="1" applyProtection="1">
      <alignment horizontal="right"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8" xfId="0" applyBorder="1" applyProtection="1"/>
    <xf numFmtId="15" fontId="0" fillId="0" borderId="0" xfId="0" applyNumberFormat="1" applyAlignment="1">
      <alignment horizontal="center"/>
    </xf>
    <xf numFmtId="0" fontId="0" fillId="0" borderId="0" xfId="0" applyAlignment="1">
      <alignment horizontal="center"/>
    </xf>
    <xf numFmtId="0" fontId="18" fillId="0" borderId="0" xfId="0" applyFont="1" applyAlignment="1">
      <alignment horizontal="left" vertical="center" wrapText="1"/>
    </xf>
    <xf numFmtId="0" fontId="7" fillId="0" borderId="0" xfId="0" applyFont="1" applyAlignment="1">
      <alignment horizontal="center" shrinkToFit="1"/>
    </xf>
    <xf numFmtId="0" fontId="0" fillId="0" borderId="0" xfId="0" applyAlignment="1">
      <alignment horizontal="left" vertical="top" wrapText="1"/>
    </xf>
    <xf numFmtId="0" fontId="0" fillId="0" borderId="0" xfId="0" applyAlignment="1">
      <alignment horizontal="left" vertical="top"/>
    </xf>
    <xf numFmtId="0" fontId="22" fillId="0" borderId="0" xfId="0" applyFont="1" applyAlignment="1">
      <alignment horizontal="left" vertical="top" wrapText="1"/>
    </xf>
    <xf numFmtId="0" fontId="18" fillId="0" borderId="0" xfId="0" applyFont="1" applyAlignment="1">
      <alignment horizontal="left" vertical="top" wrapText="1"/>
    </xf>
    <xf numFmtId="0" fontId="24" fillId="0" borderId="0" xfId="0" applyFont="1" applyAlignment="1">
      <alignment horizontal="left" vertical="top" wrapText="1"/>
    </xf>
    <xf numFmtId="0" fontId="11" fillId="0" borderId="4" xfId="0" applyFont="1" applyBorder="1" applyAlignment="1" applyProtection="1">
      <alignment vertical="center"/>
    </xf>
    <xf numFmtId="0" fontId="11" fillId="0" borderId="6" xfId="0" applyFont="1" applyBorder="1" applyAlignment="1" applyProtection="1">
      <alignment vertical="center"/>
    </xf>
    <xf numFmtId="0" fontId="11" fillId="0" borderId="7" xfId="0" applyFont="1" applyBorder="1" applyAlignment="1" applyProtection="1">
      <alignment vertical="center"/>
    </xf>
    <xf numFmtId="0" fontId="0" fillId="2" borderId="6" xfId="0" applyFill="1" applyBorder="1" applyAlignment="1" applyProtection="1">
      <alignment vertical="center" shrinkToFit="1"/>
      <protection locked="0"/>
    </xf>
    <xf numFmtId="0" fontId="0" fillId="2" borderId="7" xfId="0" applyFill="1" applyBorder="1" applyAlignment="1" applyProtection="1">
      <alignment vertical="center" shrinkToFit="1"/>
      <protection locked="0"/>
    </xf>
    <xf numFmtId="0" fontId="0" fillId="0" borderId="4"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27" fillId="0" borderId="45" xfId="0" applyFont="1" applyBorder="1" applyAlignment="1" applyProtection="1">
      <alignment horizontal="center" vertical="center"/>
    </xf>
    <xf numFmtId="0" fontId="27" fillId="0" borderId="17" xfId="0" applyFont="1" applyBorder="1" applyAlignment="1" applyProtection="1">
      <alignment horizontal="center" vertical="center"/>
    </xf>
    <xf numFmtId="0" fontId="27" fillId="0" borderId="46" xfId="0" applyFont="1" applyBorder="1" applyAlignment="1" applyProtection="1">
      <alignment horizontal="center" vertical="center"/>
    </xf>
    <xf numFmtId="0" fontId="0" fillId="0" borderId="44" xfId="0" applyFill="1" applyBorder="1" applyAlignment="1" applyProtection="1">
      <alignment horizontal="right" vertical="top" textRotation="255" wrapText="1"/>
    </xf>
    <xf numFmtId="0" fontId="1" fillId="0" borderId="44" xfId="0" applyFont="1" applyFill="1" applyBorder="1" applyAlignment="1" applyProtection="1">
      <alignment horizontal="right" vertical="top" textRotation="255"/>
    </xf>
    <xf numFmtId="0" fontId="0" fillId="0" borderId="47" xfId="0" applyFont="1" applyFill="1" applyBorder="1" applyAlignment="1" applyProtection="1">
      <alignment horizontal="left" vertical="center" wrapText="1"/>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44" xfId="0" applyFont="1" applyFill="1" applyBorder="1" applyAlignment="1" applyProtection="1">
      <alignment horizontal="left" vertical="center" wrapText="1"/>
    </xf>
    <xf numFmtId="0" fontId="0" fillId="0" borderId="48" xfId="0" applyFont="1" applyFill="1" applyBorder="1" applyAlignment="1" applyProtection="1">
      <alignment horizontal="left" vertical="center" wrapText="1"/>
    </xf>
    <xf numFmtId="0" fontId="0" fillId="0" borderId="42" xfId="0" applyFont="1" applyFill="1" applyBorder="1" applyAlignment="1" applyProtection="1">
      <alignment horizontal="left" vertical="center" wrapText="1"/>
    </xf>
    <xf numFmtId="0" fontId="0" fillId="0" borderId="43" xfId="0" applyFont="1" applyFill="1" applyBorder="1" applyAlignment="1" applyProtection="1">
      <alignment horizontal="left" vertical="center" wrapText="1"/>
    </xf>
    <xf numFmtId="0" fontId="2" fillId="0" borderId="32"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4" xfId="0" applyFont="1" applyBorder="1" applyAlignment="1" applyProtection="1">
      <alignment horizontal="distributed" vertical="center"/>
    </xf>
    <xf numFmtId="0" fontId="2" fillId="0" borderId="6" xfId="0" applyFont="1" applyBorder="1" applyAlignment="1" applyProtection="1">
      <alignment horizontal="distributed" vertical="center"/>
    </xf>
    <xf numFmtId="0" fontId="2" fillId="0" borderId="7" xfId="0" applyFont="1" applyBorder="1" applyAlignment="1" applyProtection="1">
      <alignment horizontal="distributed" vertical="center"/>
    </xf>
    <xf numFmtId="0" fontId="2" fillId="0" borderId="4" xfId="0" applyFont="1" applyBorder="1" applyAlignment="1" applyProtection="1">
      <alignment horizontal="center" vertical="center"/>
    </xf>
    <xf numFmtId="58" fontId="2" fillId="0" borderId="4" xfId="0" applyNumberFormat="1" applyFont="1" applyBorder="1" applyAlignment="1" applyProtection="1">
      <alignment horizontal="left" vertical="center"/>
    </xf>
    <xf numFmtId="0" fontId="0" fillId="0" borderId="7" xfId="0" applyBorder="1" applyAlignment="1" applyProtection="1">
      <alignment horizontal="left" vertical="center"/>
    </xf>
    <xf numFmtId="0" fontId="7" fillId="0" borderId="4" xfId="0" applyFont="1" applyBorder="1" applyAlignment="1" applyProtection="1">
      <alignment horizontal="distributed" vertical="center"/>
    </xf>
    <xf numFmtId="0" fontId="7" fillId="0" borderId="6" xfId="0" applyFont="1" applyBorder="1" applyAlignment="1" applyProtection="1">
      <alignment vertical="center"/>
    </xf>
    <xf numFmtId="0" fontId="7" fillId="0" borderId="7" xfId="0" applyFont="1" applyBorder="1" applyAlignment="1" applyProtection="1">
      <alignment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4" xfId="0" applyFont="1" applyFill="1" applyBorder="1" applyAlignment="1" applyProtection="1">
      <alignment horizontal="left" vertical="center" shrinkToFit="1"/>
    </xf>
    <xf numFmtId="0" fontId="0" fillId="0" borderId="6" xfId="0" applyFont="1" applyFill="1" applyBorder="1" applyAlignment="1" applyProtection="1">
      <alignment vertical="center" shrinkToFit="1"/>
    </xf>
    <xf numFmtId="0" fontId="0" fillId="0" borderId="7" xfId="0" applyFont="1" applyFill="1" applyBorder="1" applyAlignment="1" applyProtection="1">
      <alignment vertical="center" shrinkToFit="1"/>
    </xf>
    <xf numFmtId="0" fontId="2" fillId="0" borderId="4" xfId="0" applyFont="1" applyBorder="1" applyAlignment="1" applyProtection="1">
      <alignment horizontal="left" vertical="center" shrinkToFit="1"/>
    </xf>
    <xf numFmtId="0" fontId="0" fillId="0" borderId="6" xfId="0" applyFont="1" applyBorder="1" applyAlignment="1" applyProtection="1">
      <alignment vertical="center" shrinkToFit="1"/>
    </xf>
    <xf numFmtId="0" fontId="0" fillId="0" borderId="7" xfId="0" applyFont="1" applyBorder="1" applyAlignment="1" applyProtection="1">
      <alignment vertical="center" shrinkToFit="1"/>
    </xf>
    <xf numFmtId="0" fontId="2" fillId="0" borderId="8" xfId="0" applyFont="1" applyBorder="1" applyAlignment="1" applyProtection="1">
      <alignment horizontal="center" vertical="center"/>
    </xf>
    <xf numFmtId="176" fontId="2" fillId="0" borderId="9" xfId="0" applyNumberFormat="1" applyFont="1" applyBorder="1" applyAlignment="1" applyProtection="1">
      <alignment horizontal="center" vertical="center"/>
    </xf>
    <xf numFmtId="176" fontId="2" fillId="0" borderId="1" xfId="0" applyNumberFormat="1" applyFont="1" applyBorder="1" applyAlignment="1" applyProtection="1">
      <alignment horizontal="center" vertical="center"/>
    </xf>
    <xf numFmtId="176" fontId="2" fillId="0" borderId="18" xfId="0" applyNumberFormat="1" applyFont="1" applyBorder="1" applyAlignment="1" applyProtection="1">
      <alignment horizontal="center" vertical="center"/>
    </xf>
    <xf numFmtId="58" fontId="2" fillId="0" borderId="7" xfId="0" applyNumberFormat="1" applyFont="1" applyBorder="1" applyAlignment="1" applyProtection="1">
      <alignment horizontal="left" vertical="center"/>
    </xf>
    <xf numFmtId="0" fontId="2" fillId="0" borderId="4" xfId="0" applyFont="1" applyFill="1" applyBorder="1" applyAlignment="1" applyProtection="1">
      <alignment horizontal="left" vertical="center" shrinkToFit="1"/>
      <protection locked="0"/>
    </xf>
    <xf numFmtId="0" fontId="0" fillId="0" borderId="6" xfId="0" applyFont="1" applyFill="1" applyBorder="1" applyAlignment="1" applyProtection="1">
      <alignment vertical="center" shrinkToFit="1"/>
      <protection locked="0"/>
    </xf>
    <xf numFmtId="0" fontId="0" fillId="0" borderId="7" xfId="0" applyFont="1" applyFill="1" applyBorder="1" applyAlignment="1" applyProtection="1">
      <alignment vertical="center" shrinkToFit="1"/>
      <protection locked="0"/>
    </xf>
    <xf numFmtId="0" fontId="2" fillId="0" borderId="4"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7" xfId="0" applyFont="1" applyBorder="1" applyAlignment="1" applyProtection="1">
      <alignment horizontal="left" vertical="center"/>
    </xf>
    <xf numFmtId="0" fontId="2" fillId="0" borderId="0" xfId="0" applyFont="1" applyBorder="1" applyAlignment="1" applyProtection="1">
      <alignment horizontal="center" vertical="center"/>
    </xf>
    <xf numFmtId="185" fontId="2" fillId="0" borderId="0" xfId="0" applyNumberFormat="1" applyFont="1" applyBorder="1" applyAlignment="1" applyProtection="1">
      <alignment horizontal="center" vertical="center"/>
    </xf>
    <xf numFmtId="0" fontId="7" fillId="0" borderId="4" xfId="0" applyFont="1" applyBorder="1" applyAlignment="1" applyProtection="1">
      <alignment horizontal="distributed" vertical="center"/>
      <protection locked="0"/>
    </xf>
    <xf numFmtId="0" fontId="7" fillId="0" borderId="6" xfId="0" applyFont="1" applyBorder="1" applyAlignment="1" applyProtection="1">
      <alignment vertical="center"/>
      <protection locked="0"/>
    </xf>
    <xf numFmtId="0" fontId="7" fillId="0" borderId="7" xfId="0" applyFont="1" applyBorder="1" applyAlignment="1" applyProtection="1">
      <alignment vertical="center"/>
      <protection locked="0"/>
    </xf>
    <xf numFmtId="0" fontId="29" fillId="0" borderId="3" xfId="0" applyFont="1" applyBorder="1" applyProtection="1">
      <protection locked="0"/>
    </xf>
    <xf numFmtId="0" fontId="0" fillId="6" borderId="8" xfId="0" applyFill="1" applyBorder="1" applyProtection="1">
      <protection locked="0"/>
    </xf>
  </cellXfs>
  <cellStyles count="2">
    <cellStyle name="桁区切り" xfId="1" builtinId="6"/>
    <cellStyle name="標準" xfId="0" builtinId="0"/>
  </cellStyles>
  <dxfs count="1">
    <dxf>
      <font>
        <color theme="0"/>
      </font>
      <fill>
        <patternFill patternType="none">
          <bgColor indexed="65"/>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00"/>
      <color rgb="FF0000FF"/>
      <color rgb="FFFF99FF"/>
      <color rgb="FFFF6699"/>
      <color rgb="FFCCFFCC"/>
      <color rgb="FFFFFF00"/>
      <color rgb="FFCC99FF"/>
      <color rgb="FFFFC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w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3.w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62345</xdr:rowOff>
    </xdr:from>
    <xdr:to>
      <xdr:col>6</xdr:col>
      <xdr:colOff>236519</xdr:colOff>
      <xdr:row>44</xdr:row>
      <xdr:rowOff>43961</xdr:rowOff>
    </xdr:to>
    <xdr:pic>
      <xdr:nvPicPr>
        <xdr:cNvPr id="1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736922"/>
          <a:ext cx="3804731" cy="3520520"/>
        </a:xfrm>
        <a:prstGeom prst="rect">
          <a:avLst/>
        </a:prstGeom>
        <a:noFill/>
        <a:ln w="9525">
          <a:noFill/>
          <a:miter lim="800000"/>
          <a:headEnd/>
          <a:tailEnd/>
        </a:ln>
      </xdr:spPr>
    </xdr:pic>
    <xdr:clientData/>
  </xdr:twoCellAnchor>
  <xdr:twoCellAnchor>
    <xdr:from>
      <xdr:col>6</xdr:col>
      <xdr:colOff>109904</xdr:colOff>
      <xdr:row>23</xdr:row>
      <xdr:rowOff>19183</xdr:rowOff>
    </xdr:from>
    <xdr:to>
      <xdr:col>9</xdr:col>
      <xdr:colOff>783033</xdr:colOff>
      <xdr:row>44</xdr:row>
      <xdr:rowOff>14654</xdr:rowOff>
    </xdr:to>
    <xdr:pic>
      <xdr:nvPicPr>
        <xdr:cNvPr id="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678116" y="4693760"/>
          <a:ext cx="3794398" cy="3534375"/>
        </a:xfrm>
        <a:prstGeom prst="rect">
          <a:avLst/>
        </a:prstGeom>
        <a:noFill/>
        <a:ln w="9525">
          <a:noFill/>
          <a:miter lim="800000"/>
          <a:headEnd/>
          <a:tailEnd/>
        </a:ln>
      </xdr:spPr>
    </xdr:pic>
    <xdr:clientData/>
  </xdr:twoCellAnchor>
  <xdr:twoCellAnchor>
    <xdr:from>
      <xdr:col>6</xdr:col>
      <xdr:colOff>476248</xdr:colOff>
      <xdr:row>22</xdr:row>
      <xdr:rowOff>153865</xdr:rowOff>
    </xdr:from>
    <xdr:to>
      <xdr:col>9</xdr:col>
      <xdr:colOff>709976</xdr:colOff>
      <xdr:row>24</xdr:row>
      <xdr:rowOff>146538</xdr:rowOff>
    </xdr:to>
    <xdr:sp macro="" textlink="">
      <xdr:nvSpPr>
        <xdr:cNvPr id="15" name="Text Box 3"/>
        <xdr:cNvSpPr txBox="1">
          <a:spLocks noChangeArrowheads="1"/>
        </xdr:cNvSpPr>
      </xdr:nvSpPr>
      <xdr:spPr bwMode="auto">
        <a:xfrm>
          <a:off x="4044460" y="4659923"/>
          <a:ext cx="3354997" cy="329711"/>
        </a:xfrm>
        <a:prstGeom prst="rect">
          <a:avLst/>
        </a:prstGeom>
        <a:solidFill>
          <a:srgbClr val="D8D8D8"/>
        </a:solidFill>
        <a:ln w="9525" algn="ctr">
          <a:solidFill>
            <a:srgbClr val="000000"/>
          </a:solidFill>
          <a:miter lim="800000"/>
          <a:headEnd/>
          <a:tailEnd/>
        </a:ln>
        <a:effectLst/>
      </xdr:spPr>
      <xdr:txBody>
        <a:bodyPr vertOverflow="clip" wrap="square" lIns="91440" tIns="45720" rIns="91440" bIns="45720" anchor="t" upright="1"/>
        <a:lstStyle/>
        <a:p>
          <a:pPr algn="l" rtl="0">
            <a:defRPr sz="1000"/>
          </a:pPr>
          <a:r>
            <a:rPr lang="ja-JP" altLang="en-US" sz="550" b="0" i="0" u="none" strike="noStrike" baseline="0">
              <a:solidFill>
                <a:srgbClr val="000000"/>
              </a:solidFill>
              <a:latin typeface="ＭＳ 明朝"/>
              <a:ea typeface="ＭＳ 明朝"/>
            </a:rPr>
            <a:t>水道用硬質ポリ塩化ビニル管、耐熱性硬質ポリ塩化ビニル管、水道用ステンレス鋼管</a:t>
          </a:r>
          <a:r>
            <a:rPr lang="ja-JP" altLang="en-US" sz="550" b="0" i="0" u="none" strike="noStrike" baseline="0">
              <a:solidFill>
                <a:srgbClr val="FF0000"/>
              </a:solidFill>
              <a:latin typeface="ＭＳ 明朝"/>
              <a:ea typeface="ＭＳ 明朝"/>
            </a:rPr>
            <a:t>、</a:t>
          </a:r>
          <a:r>
            <a:rPr lang="ja-JP" altLang="en-US" sz="550" b="0" i="0" u="none" strike="noStrike" baseline="0">
              <a:solidFill>
                <a:srgbClr val="000000"/>
              </a:solidFill>
              <a:latin typeface="ＭＳ 明朝"/>
              <a:ea typeface="ＭＳ 明朝"/>
            </a:rPr>
            <a:t>水道用架橋ポリエチレン管、水道用ポリブデン管、配管用炭素鋼管を使用する場合の流量</a:t>
          </a:r>
          <a:r>
            <a:rPr lang="en-US" altLang="ja-JP" sz="550" b="0" i="0" u="none" strike="noStrike" baseline="0">
              <a:solidFill>
                <a:srgbClr val="000000"/>
              </a:solidFill>
              <a:latin typeface="Century"/>
            </a:rPr>
            <a:t>A,B</a:t>
          </a:r>
          <a:endParaRPr lang="en-US" altLang="ja-JP" sz="550" b="0" i="0" u="none" strike="noStrike" baseline="0">
            <a:solidFill>
              <a:srgbClr val="000000"/>
            </a:solidFill>
            <a:latin typeface="Times New Roman"/>
            <a:cs typeface="Times New Roman"/>
          </a:endParaRPr>
        </a:p>
        <a:p>
          <a:pPr algn="l" rtl="0">
            <a:defRPr sz="1000"/>
          </a:pPr>
          <a:endParaRPr lang="en-US" altLang="ja-JP" sz="800" b="0" i="0" u="none" strike="noStrike" baseline="0">
            <a:solidFill>
              <a:srgbClr val="000000"/>
            </a:solidFill>
            <a:latin typeface="Times New Roman"/>
            <a:cs typeface="Times New Roman"/>
          </a:endParaRPr>
        </a:p>
      </xdr:txBody>
    </xdr:sp>
    <xdr:clientData/>
  </xdr:twoCellAnchor>
  <xdr:twoCellAnchor>
    <xdr:from>
      <xdr:col>1</xdr:col>
      <xdr:colOff>14654</xdr:colOff>
      <xdr:row>22</xdr:row>
      <xdr:rowOff>153864</xdr:rowOff>
    </xdr:from>
    <xdr:to>
      <xdr:col>6</xdr:col>
      <xdr:colOff>164915</xdr:colOff>
      <xdr:row>24</xdr:row>
      <xdr:rowOff>139211</xdr:rowOff>
    </xdr:to>
    <xdr:sp macro="" textlink="">
      <xdr:nvSpPr>
        <xdr:cNvPr id="16" name="Text Box 4"/>
        <xdr:cNvSpPr txBox="1">
          <a:spLocks noChangeArrowheads="1"/>
        </xdr:cNvSpPr>
      </xdr:nvSpPr>
      <xdr:spPr bwMode="auto">
        <a:xfrm>
          <a:off x="256442" y="4659922"/>
          <a:ext cx="3476685" cy="322385"/>
        </a:xfrm>
        <a:prstGeom prst="rect">
          <a:avLst/>
        </a:prstGeom>
        <a:solidFill>
          <a:srgbClr val="D8D8D8"/>
        </a:solidFill>
        <a:ln w="9525" algn="ctr">
          <a:solidFill>
            <a:srgbClr val="000000"/>
          </a:solidFill>
          <a:miter lim="800000"/>
          <a:headEnd/>
          <a:tailEnd/>
        </a:ln>
        <a:effectLst/>
      </xdr:spPr>
      <xdr:txBody>
        <a:bodyPr vertOverflow="clip" wrap="square" lIns="91440" tIns="45720" rIns="91440" bIns="45720" anchor="t" upright="1"/>
        <a:lstStyle/>
        <a:p>
          <a:pPr algn="l" rtl="0">
            <a:defRPr sz="1000"/>
          </a:pPr>
          <a:r>
            <a:rPr lang="ja-JP" altLang="en-US" sz="550" b="0" i="0" u="none" strike="noStrike" baseline="0">
              <a:solidFill>
                <a:srgbClr val="000000"/>
              </a:solidFill>
              <a:latin typeface="ＭＳ 明朝"/>
              <a:ea typeface="ＭＳ 明朝"/>
            </a:rPr>
            <a:t>水道用硬質塩化ビニルライニング鋼管、ポリエチレン粉体ライニング鋼管を使用する場合の流量</a:t>
          </a:r>
          <a:r>
            <a:rPr lang="en-US" altLang="ja-JP" sz="550" b="0" i="0" u="none" strike="noStrike" baseline="0">
              <a:solidFill>
                <a:srgbClr val="000000"/>
              </a:solidFill>
              <a:latin typeface="Century"/>
            </a:rPr>
            <a:t>A,B</a:t>
          </a:r>
          <a:endParaRPr lang="en-US" altLang="ja-JP" sz="550" b="0" i="0" u="none" strike="noStrike" baseline="0">
            <a:solidFill>
              <a:srgbClr val="000000"/>
            </a:solidFill>
            <a:latin typeface="Times New Roman"/>
            <a:cs typeface="Times New Roman"/>
          </a:endParaRPr>
        </a:p>
      </xdr:txBody>
    </xdr:sp>
    <xdr:clientData/>
  </xdr:twoCellAnchor>
  <xdr:twoCellAnchor>
    <xdr:from>
      <xdr:col>3</xdr:col>
      <xdr:colOff>124556</xdr:colOff>
      <xdr:row>42</xdr:row>
      <xdr:rowOff>1</xdr:rowOff>
    </xdr:from>
    <xdr:to>
      <xdr:col>5</xdr:col>
      <xdr:colOff>593480</xdr:colOff>
      <xdr:row>43</xdr:row>
      <xdr:rowOff>51288</xdr:rowOff>
    </xdr:to>
    <xdr:sp macro="" textlink="">
      <xdr:nvSpPr>
        <xdr:cNvPr id="17" name="テキスト ボックス 16"/>
        <xdr:cNvSpPr txBox="1"/>
      </xdr:nvSpPr>
      <xdr:spPr>
        <a:xfrm>
          <a:off x="1274883" y="7876443"/>
          <a:ext cx="1970943" cy="21980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電動弁二次側総配管内容量（Ｌ）</a:t>
          </a:r>
        </a:p>
      </xdr:txBody>
    </xdr:sp>
    <xdr:clientData/>
  </xdr:twoCellAnchor>
  <xdr:twoCellAnchor>
    <xdr:from>
      <xdr:col>0</xdr:col>
      <xdr:colOff>80596</xdr:colOff>
      <xdr:row>30</xdr:row>
      <xdr:rowOff>80595</xdr:rowOff>
    </xdr:from>
    <xdr:to>
      <xdr:col>1</xdr:col>
      <xdr:colOff>131885</xdr:colOff>
      <xdr:row>35</xdr:row>
      <xdr:rowOff>36634</xdr:rowOff>
    </xdr:to>
    <xdr:sp macro="" textlink="">
      <xdr:nvSpPr>
        <xdr:cNvPr id="18" name="テキスト ボックス 17"/>
        <xdr:cNvSpPr txBox="1"/>
      </xdr:nvSpPr>
      <xdr:spPr>
        <a:xfrm>
          <a:off x="80596" y="5934807"/>
          <a:ext cx="293077" cy="7986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vert="vert270" wrap="square" rtlCol="0" anchor="t"/>
        <a:lstStyle/>
        <a:p>
          <a:r>
            <a:rPr kumimoji="1" lang="ja-JP" altLang="en-US" sz="900"/>
            <a:t>流量（</a:t>
          </a:r>
          <a:r>
            <a:rPr kumimoji="1" lang="en-US" altLang="ja-JP" sz="900"/>
            <a:t>L/min</a:t>
          </a:r>
          <a:r>
            <a:rPr kumimoji="1" lang="ja-JP" altLang="en-US" sz="900"/>
            <a:t>）</a:t>
          </a:r>
        </a:p>
      </xdr:txBody>
    </xdr:sp>
    <xdr:clientData/>
  </xdr:twoCellAnchor>
  <xdr:twoCellAnchor>
    <xdr:from>
      <xdr:col>6</xdr:col>
      <xdr:colOff>175846</xdr:colOff>
      <xdr:row>30</xdr:row>
      <xdr:rowOff>80595</xdr:rowOff>
    </xdr:from>
    <xdr:to>
      <xdr:col>6</xdr:col>
      <xdr:colOff>468923</xdr:colOff>
      <xdr:row>35</xdr:row>
      <xdr:rowOff>36634</xdr:rowOff>
    </xdr:to>
    <xdr:sp macro="" textlink="">
      <xdr:nvSpPr>
        <xdr:cNvPr id="19" name="テキスト ボックス 18"/>
        <xdr:cNvSpPr txBox="1"/>
      </xdr:nvSpPr>
      <xdr:spPr>
        <a:xfrm>
          <a:off x="3744058" y="5934807"/>
          <a:ext cx="293077" cy="7986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vert="vert270" wrap="square" rtlCol="0" anchor="t"/>
        <a:lstStyle/>
        <a:p>
          <a:r>
            <a:rPr kumimoji="1" lang="ja-JP" altLang="en-US" sz="900"/>
            <a:t>流量（</a:t>
          </a:r>
          <a:r>
            <a:rPr kumimoji="1" lang="en-US" altLang="ja-JP" sz="900"/>
            <a:t>L/min</a:t>
          </a:r>
          <a:r>
            <a:rPr kumimoji="1" lang="ja-JP" altLang="en-US" sz="900"/>
            <a:t>）</a:t>
          </a:r>
        </a:p>
      </xdr:txBody>
    </xdr:sp>
    <xdr:clientData/>
  </xdr:twoCellAnchor>
  <xdr:twoCellAnchor>
    <xdr:from>
      <xdr:col>7</xdr:col>
      <xdr:colOff>542192</xdr:colOff>
      <xdr:row>42</xdr:row>
      <xdr:rowOff>1</xdr:rowOff>
    </xdr:from>
    <xdr:to>
      <xdr:col>9</xdr:col>
      <xdr:colOff>80596</xdr:colOff>
      <xdr:row>43</xdr:row>
      <xdr:rowOff>51288</xdr:rowOff>
    </xdr:to>
    <xdr:sp macro="" textlink="">
      <xdr:nvSpPr>
        <xdr:cNvPr id="20" name="テキスト ボックス 19"/>
        <xdr:cNvSpPr txBox="1"/>
      </xdr:nvSpPr>
      <xdr:spPr>
        <a:xfrm>
          <a:off x="4799134" y="7876443"/>
          <a:ext cx="1970943" cy="21980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電動弁二次側総配管内容量（Ｌ）</a:t>
          </a:r>
        </a:p>
      </xdr:txBody>
    </xdr:sp>
    <xdr:clientData/>
  </xdr:twoCellAnchor>
  <xdr:twoCellAnchor editAs="oneCell">
    <xdr:from>
      <xdr:col>4</xdr:col>
      <xdr:colOff>805962</xdr:colOff>
      <xdr:row>7</xdr:row>
      <xdr:rowOff>91989</xdr:rowOff>
    </xdr:from>
    <xdr:to>
      <xdr:col>9</xdr:col>
      <xdr:colOff>879231</xdr:colOff>
      <xdr:row>22</xdr:row>
      <xdr:rowOff>116334</xdr:rowOff>
    </xdr:to>
    <xdr:pic>
      <xdr:nvPicPr>
        <xdr:cNvPr id="21" name="図 20" descr="水道連結SP(BP)1.jpg"/>
        <xdr:cNvPicPr>
          <a:picLocks noChangeAspect="1"/>
        </xdr:cNvPicPr>
      </xdr:nvPicPr>
      <xdr:blipFill>
        <a:blip xmlns:r="http://schemas.openxmlformats.org/officeDocument/2006/relationships" r:embed="rId3" cstate="print"/>
        <a:stretch>
          <a:fillRect/>
        </a:stretch>
      </xdr:blipFill>
      <xdr:spPr>
        <a:xfrm>
          <a:off x="2645020" y="2070258"/>
          <a:ext cx="4923692" cy="2552134"/>
        </a:xfrm>
        <a:prstGeom prst="rect">
          <a:avLst/>
        </a:prstGeom>
      </xdr:spPr>
    </xdr:pic>
    <xdr:clientData/>
  </xdr:twoCellAnchor>
  <xdr:twoCellAnchor editAs="oneCell">
    <xdr:from>
      <xdr:col>5</xdr:col>
      <xdr:colOff>0</xdr:colOff>
      <xdr:row>44</xdr:row>
      <xdr:rowOff>153865</xdr:rowOff>
    </xdr:from>
    <xdr:to>
      <xdr:col>9</xdr:col>
      <xdr:colOff>900925</xdr:colOff>
      <xdr:row>60</xdr:row>
      <xdr:rowOff>85583</xdr:rowOff>
    </xdr:to>
    <xdr:pic>
      <xdr:nvPicPr>
        <xdr:cNvPr id="22" name="図 21" descr="水道連結SP(BP)2.jpg"/>
        <xdr:cNvPicPr>
          <a:picLocks noChangeAspect="1"/>
        </xdr:cNvPicPr>
      </xdr:nvPicPr>
      <xdr:blipFill>
        <a:blip xmlns:r="http://schemas.openxmlformats.org/officeDocument/2006/relationships" r:embed="rId4" cstate="print"/>
        <a:stretch>
          <a:fillRect/>
        </a:stretch>
      </xdr:blipFill>
      <xdr:spPr>
        <a:xfrm>
          <a:off x="2652346" y="8367346"/>
          <a:ext cx="4938060" cy="2650006"/>
        </a:xfrm>
        <a:prstGeom prst="rect">
          <a:avLst/>
        </a:prstGeom>
      </xdr:spPr>
    </xdr:pic>
    <xdr:clientData/>
  </xdr:twoCellAnchor>
  <xdr:twoCellAnchor editAs="oneCell">
    <xdr:from>
      <xdr:col>4</xdr:col>
      <xdr:colOff>783980</xdr:colOff>
      <xdr:row>64</xdr:row>
      <xdr:rowOff>27629</xdr:rowOff>
    </xdr:from>
    <xdr:to>
      <xdr:col>9</xdr:col>
      <xdr:colOff>893884</xdr:colOff>
      <xdr:row>78</xdr:row>
      <xdr:rowOff>95250</xdr:rowOff>
    </xdr:to>
    <xdr:pic>
      <xdr:nvPicPr>
        <xdr:cNvPr id="23" name="図 22" descr="水道連結SP(BP)3.jpg"/>
        <xdr:cNvPicPr>
          <a:picLocks noChangeAspect="1"/>
        </xdr:cNvPicPr>
      </xdr:nvPicPr>
      <xdr:blipFill>
        <a:blip xmlns:r="http://schemas.openxmlformats.org/officeDocument/2006/relationships" r:embed="rId5" cstate="print"/>
        <a:stretch>
          <a:fillRect/>
        </a:stretch>
      </xdr:blipFill>
      <xdr:spPr>
        <a:xfrm>
          <a:off x="2623038" y="11655456"/>
          <a:ext cx="4960327" cy="2426890"/>
        </a:xfrm>
        <a:prstGeom prst="rect">
          <a:avLst/>
        </a:prstGeom>
      </xdr:spPr>
    </xdr:pic>
    <xdr:clientData/>
  </xdr:twoCellAnchor>
  <xdr:twoCellAnchor editAs="oneCell">
    <xdr:from>
      <xdr:col>5</xdr:col>
      <xdr:colOff>7326</xdr:colOff>
      <xdr:row>82</xdr:row>
      <xdr:rowOff>40132</xdr:rowOff>
    </xdr:from>
    <xdr:to>
      <xdr:col>9</xdr:col>
      <xdr:colOff>893884</xdr:colOff>
      <xdr:row>96</xdr:row>
      <xdr:rowOff>54575</xdr:rowOff>
    </xdr:to>
    <xdr:pic>
      <xdr:nvPicPr>
        <xdr:cNvPr id="24" name="図 23" descr="水道連結SP(BP)4.jpg"/>
        <xdr:cNvPicPr>
          <a:picLocks noChangeAspect="1"/>
        </xdr:cNvPicPr>
      </xdr:nvPicPr>
      <xdr:blipFill>
        <a:blip xmlns:r="http://schemas.openxmlformats.org/officeDocument/2006/relationships" r:embed="rId6" cstate="print"/>
        <a:stretch>
          <a:fillRect/>
        </a:stretch>
      </xdr:blipFill>
      <xdr:spPr>
        <a:xfrm>
          <a:off x="2659672" y="14723286"/>
          <a:ext cx="4923693" cy="2373712"/>
        </a:xfrm>
        <a:prstGeom prst="rect">
          <a:avLst/>
        </a:prstGeom>
      </xdr:spPr>
    </xdr:pic>
    <xdr:clientData/>
  </xdr:twoCellAnchor>
  <xdr:twoCellAnchor editAs="oneCell">
    <xdr:from>
      <xdr:col>5</xdr:col>
      <xdr:colOff>21981</xdr:colOff>
      <xdr:row>99</xdr:row>
      <xdr:rowOff>119515</xdr:rowOff>
    </xdr:from>
    <xdr:to>
      <xdr:col>9</xdr:col>
      <xdr:colOff>586154</xdr:colOff>
      <xdr:row>114</xdr:row>
      <xdr:rowOff>29601</xdr:rowOff>
    </xdr:to>
    <xdr:pic>
      <xdr:nvPicPr>
        <xdr:cNvPr id="25" name="図 24" descr="水道連結SP(BP)5.jpg"/>
        <xdr:cNvPicPr>
          <a:picLocks noChangeAspect="1"/>
        </xdr:cNvPicPr>
      </xdr:nvPicPr>
      <xdr:blipFill>
        <a:blip xmlns:r="http://schemas.openxmlformats.org/officeDocument/2006/relationships" r:embed="rId7" cstate="print"/>
        <a:stretch>
          <a:fillRect/>
        </a:stretch>
      </xdr:blipFill>
      <xdr:spPr>
        <a:xfrm>
          <a:off x="2674327" y="17689477"/>
          <a:ext cx="4601308" cy="2650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381000</xdr:colOff>
      <xdr:row>12</xdr:row>
      <xdr:rowOff>157443</xdr:rowOff>
    </xdr:from>
    <xdr:to>
      <xdr:col>4</xdr:col>
      <xdr:colOff>352425</xdr:colOff>
      <xdr:row>16</xdr:row>
      <xdr:rowOff>122705</xdr:rowOff>
    </xdr:to>
    <xdr:sp macro="" textlink="">
      <xdr:nvSpPr>
        <xdr:cNvPr id="3" name="強調線吹き出し 3 (枠付き) 2"/>
        <xdr:cNvSpPr/>
      </xdr:nvSpPr>
      <xdr:spPr>
        <a:xfrm>
          <a:off x="381000" y="2300568"/>
          <a:ext cx="2714625" cy="651062"/>
        </a:xfrm>
        <a:prstGeom prst="accentBorderCallout3">
          <a:avLst>
            <a:gd name="adj1" fmla="val 49354"/>
            <a:gd name="adj2" fmla="val 100250"/>
            <a:gd name="adj3" fmla="val -250219"/>
            <a:gd name="adj4" fmla="val 117361"/>
            <a:gd name="adj5" fmla="val -271147"/>
            <a:gd name="adj6" fmla="val 119651"/>
            <a:gd name="adj7" fmla="val -281607"/>
            <a:gd name="adj8" fmla="val 124885"/>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ja-JP" sz="1400" b="1" i="0" baseline="0">
              <a:solidFill>
                <a:sysClr val="windowText" lastClr="000000"/>
              </a:solidFill>
              <a:latin typeface="+mn-lt"/>
              <a:ea typeface="+mn-ea"/>
              <a:cs typeface="+mn-cs"/>
            </a:rPr>
            <a:t>①件名を記入します。</a:t>
          </a:r>
          <a:endParaRPr lang="ja-JP" altLang="ja-JP" sz="1400" b="1">
            <a:solidFill>
              <a:sysClr val="windowText" lastClr="000000"/>
            </a:solidFill>
          </a:endParaRPr>
        </a:p>
        <a:p>
          <a:pPr rtl="0"/>
          <a:r>
            <a:rPr lang="ja-JP" altLang="en-US" sz="1400" b="1" i="0" baseline="0">
              <a:solidFill>
                <a:sysClr val="windowText" lastClr="000000"/>
              </a:solidFill>
              <a:latin typeface="+mn-lt"/>
              <a:ea typeface="+mn-ea"/>
              <a:cs typeface="+mn-cs"/>
            </a:rPr>
            <a:t>　</a:t>
          </a:r>
          <a:r>
            <a:rPr lang="ja-JP" altLang="ja-JP" sz="1400" b="1" i="0" baseline="0">
              <a:solidFill>
                <a:sysClr val="windowText" lastClr="000000"/>
              </a:solidFill>
              <a:latin typeface="+mn-lt"/>
              <a:ea typeface="+mn-ea"/>
              <a:cs typeface="+mn-cs"/>
            </a:rPr>
            <a:t>（各計算書へ反映されます）</a:t>
          </a:r>
          <a:endParaRPr lang="ja-JP" altLang="ja-JP" sz="1400" b="1">
            <a:solidFill>
              <a:sysClr val="windowText" lastClr="000000"/>
            </a:solidFill>
          </a:endParaRPr>
        </a:p>
      </xdr:txBody>
    </xdr:sp>
    <xdr:clientData fPrintsWithSheet="0"/>
  </xdr:twoCellAnchor>
  <xdr:twoCellAnchor editAs="absolute">
    <xdr:from>
      <xdr:col>0</xdr:col>
      <xdr:colOff>381000</xdr:colOff>
      <xdr:row>21</xdr:row>
      <xdr:rowOff>51547</xdr:rowOff>
    </xdr:from>
    <xdr:to>
      <xdr:col>4</xdr:col>
      <xdr:colOff>352425</xdr:colOff>
      <xdr:row>24</xdr:row>
      <xdr:rowOff>142875</xdr:rowOff>
    </xdr:to>
    <xdr:sp macro="" textlink="">
      <xdr:nvSpPr>
        <xdr:cNvPr id="10" name="強調線吹き出し 3 (枠付き) 9"/>
        <xdr:cNvSpPr/>
      </xdr:nvSpPr>
      <xdr:spPr>
        <a:xfrm>
          <a:off x="381000" y="3785347"/>
          <a:ext cx="2714625" cy="624728"/>
        </a:xfrm>
        <a:prstGeom prst="accentBorderCallout3">
          <a:avLst>
            <a:gd name="adj1" fmla="val 44903"/>
            <a:gd name="adj2" fmla="val 99899"/>
            <a:gd name="adj3" fmla="val -466824"/>
            <a:gd name="adj4" fmla="val 123157"/>
            <a:gd name="adj5" fmla="val -468605"/>
            <a:gd name="adj6" fmla="val 245110"/>
            <a:gd name="adj7" fmla="val -505816"/>
            <a:gd name="adj8" fmla="val 277063"/>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③使用する管種を選択します</a:t>
          </a:r>
          <a:r>
            <a:rPr lang="ja-JP" altLang="ja-JP" sz="1400" b="1" i="0" baseline="0">
              <a:solidFill>
                <a:sysClr val="windowText" lastClr="000000"/>
              </a:solidFill>
              <a:latin typeface="+mn-lt"/>
              <a:ea typeface="+mn-ea"/>
              <a:cs typeface="+mn-cs"/>
            </a:rPr>
            <a:t>。</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（各計算書へ反映されます）</a:t>
          </a:r>
          <a:endParaRPr lang="ja-JP" altLang="ja-JP" sz="1400" b="1">
            <a:solidFill>
              <a:sysClr val="windowText" lastClr="000000"/>
            </a:solidFill>
          </a:endParaRPr>
        </a:p>
      </xdr:txBody>
    </xdr:sp>
    <xdr:clientData fPrintsWithSheet="0"/>
  </xdr:twoCellAnchor>
  <xdr:twoCellAnchor>
    <xdr:from>
      <xdr:col>5</xdr:col>
      <xdr:colOff>85725</xdr:colOff>
      <xdr:row>7</xdr:row>
      <xdr:rowOff>28574</xdr:rowOff>
    </xdr:from>
    <xdr:to>
      <xdr:col>6</xdr:col>
      <xdr:colOff>0</xdr:colOff>
      <xdr:row>25</xdr:row>
      <xdr:rowOff>123824</xdr:rowOff>
    </xdr:to>
    <xdr:sp macro="" textlink="">
      <xdr:nvSpPr>
        <xdr:cNvPr id="12" name="左中かっこ 11"/>
        <xdr:cNvSpPr/>
      </xdr:nvSpPr>
      <xdr:spPr>
        <a:xfrm>
          <a:off x="3514725" y="1295399"/>
          <a:ext cx="257175" cy="3638550"/>
        </a:xfrm>
        <a:prstGeom prst="leftBrace">
          <a:avLst>
            <a:gd name="adj1" fmla="val 27727"/>
            <a:gd name="adj2" fmla="val 82923"/>
          </a:avLst>
        </a:prstGeom>
        <a:ln w="50800">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fPrintsWithSheet="0"/>
  </xdr:twoCellAnchor>
  <xdr:twoCellAnchor editAs="absolute">
    <xdr:from>
      <xdr:col>0</xdr:col>
      <xdr:colOff>190500</xdr:colOff>
      <xdr:row>25</xdr:row>
      <xdr:rowOff>25213</xdr:rowOff>
    </xdr:from>
    <xdr:to>
      <xdr:col>4</xdr:col>
      <xdr:colOff>342899</xdr:colOff>
      <xdr:row>29</xdr:row>
      <xdr:rowOff>21852</xdr:rowOff>
    </xdr:to>
    <xdr:sp macro="" textlink="">
      <xdr:nvSpPr>
        <xdr:cNvPr id="13" name="角丸四角形吹き出し 12"/>
        <xdr:cNvSpPr/>
      </xdr:nvSpPr>
      <xdr:spPr>
        <a:xfrm>
          <a:off x="190500" y="4473388"/>
          <a:ext cx="2895599" cy="682439"/>
        </a:xfrm>
        <a:prstGeom prst="wedgeRoundRectCallout">
          <a:avLst>
            <a:gd name="adj1" fmla="val 63597"/>
            <a:gd name="adj2" fmla="val -11583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Ａ．電動弁２次側の総配管容量</a:t>
          </a:r>
          <a:endParaRPr lang="en-US" altLang="ja-JP" sz="1400" b="1" i="0" baseline="0">
            <a:solidFill>
              <a:schemeClr val="tx1"/>
            </a:solidFill>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　　  を計算</a:t>
          </a:r>
          <a:endParaRPr kumimoji="1" lang="ja-JP" altLang="en-US" sz="1100"/>
        </a:p>
      </xdr:txBody>
    </xdr:sp>
    <xdr:clientData fPrintsWithSheet="0"/>
  </xdr:twoCellAnchor>
  <xdr:twoCellAnchor editAs="absolute">
    <xdr:from>
      <xdr:col>0</xdr:col>
      <xdr:colOff>381000</xdr:colOff>
      <xdr:row>17</xdr:row>
      <xdr:rowOff>39781</xdr:rowOff>
    </xdr:from>
    <xdr:to>
      <xdr:col>4</xdr:col>
      <xdr:colOff>352425</xdr:colOff>
      <xdr:row>20</xdr:row>
      <xdr:rowOff>114300</xdr:rowOff>
    </xdr:to>
    <xdr:sp macro="" textlink="">
      <xdr:nvSpPr>
        <xdr:cNvPr id="17" name="強調線吹き出し 3 (枠付き) 16"/>
        <xdr:cNvSpPr/>
      </xdr:nvSpPr>
      <xdr:spPr>
        <a:xfrm>
          <a:off x="381000" y="3049681"/>
          <a:ext cx="2714625" cy="617444"/>
        </a:xfrm>
        <a:prstGeom prst="accentBorderCallout3">
          <a:avLst>
            <a:gd name="adj1" fmla="val 47971"/>
            <a:gd name="adj2" fmla="val 100250"/>
            <a:gd name="adj3" fmla="val -340358"/>
            <a:gd name="adj4" fmla="val 118971"/>
            <a:gd name="adj5" fmla="val -361770"/>
            <a:gd name="adj6" fmla="val 120923"/>
            <a:gd name="adj7" fmla="val -381829"/>
            <a:gd name="adj8" fmla="val 124409"/>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②階、系統を記入します。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a:t>
          </a:r>
          <a:r>
            <a:rPr kumimoji="1" lang="ja-JP" altLang="en-US" sz="1400" b="1" i="0" baseline="0">
              <a:solidFill>
                <a:sysClr val="windowText" lastClr="000000"/>
              </a:solidFill>
              <a:latin typeface="+mn-lt"/>
              <a:ea typeface="+mn-ea"/>
              <a:cs typeface="+mn-cs"/>
            </a:rPr>
            <a:t>　（各計算書へ反映されます）</a:t>
          </a:r>
          <a:endParaRPr kumimoji="1" lang="ja-JP" altLang="en-US" sz="1400" b="1">
            <a:solidFill>
              <a:sysClr val="windowText" lastClr="000000"/>
            </a:solidFill>
          </a:endParaRPr>
        </a:p>
      </xdr:txBody>
    </xdr:sp>
    <xdr:clientData fPrintsWithSheet="0"/>
  </xdr:twoCellAnchor>
  <xdr:twoCellAnchor editAs="absolute">
    <xdr:from>
      <xdr:col>0</xdr:col>
      <xdr:colOff>381000</xdr:colOff>
      <xdr:row>29</xdr:row>
      <xdr:rowOff>162484</xdr:rowOff>
    </xdr:from>
    <xdr:to>
      <xdr:col>4</xdr:col>
      <xdr:colOff>352425</xdr:colOff>
      <xdr:row>35</xdr:row>
      <xdr:rowOff>22412</xdr:rowOff>
    </xdr:to>
    <xdr:sp macro="" textlink="">
      <xdr:nvSpPr>
        <xdr:cNvPr id="11" name="強調線吹き出し 3 (枠付き) 10"/>
        <xdr:cNvSpPr/>
      </xdr:nvSpPr>
      <xdr:spPr>
        <a:xfrm>
          <a:off x="381000" y="5296459"/>
          <a:ext cx="2714625" cy="917203"/>
        </a:xfrm>
        <a:prstGeom prst="accentBorderCallout3">
          <a:avLst>
            <a:gd name="adj1" fmla="val 46428"/>
            <a:gd name="adj2" fmla="val 99899"/>
            <a:gd name="adj3" fmla="val -74477"/>
            <a:gd name="adj4" fmla="val 111253"/>
            <a:gd name="adj5" fmla="val -272712"/>
            <a:gd name="adj6" fmla="val 145880"/>
            <a:gd name="adj7" fmla="val -288081"/>
            <a:gd name="adj8" fmla="val 187330"/>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④電動弁２次側の全配管につい</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て、呼び径毎に配管長を合計</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し、記入します。</a:t>
          </a:r>
          <a:endParaRPr kumimoji="1" lang="ja-JP" altLang="en-US" sz="1400" b="1">
            <a:solidFill>
              <a:sysClr val="windowText" lastClr="000000"/>
            </a:solidFill>
          </a:endParaRPr>
        </a:p>
      </xdr:txBody>
    </xdr:sp>
    <xdr:clientData fPrintsWithSheet="0"/>
  </xdr:twoCellAnchor>
  <xdr:twoCellAnchor editAs="absolute">
    <xdr:from>
      <xdr:col>0</xdr:col>
      <xdr:colOff>373774</xdr:colOff>
      <xdr:row>35</xdr:row>
      <xdr:rowOff>124945</xdr:rowOff>
    </xdr:from>
    <xdr:to>
      <xdr:col>4</xdr:col>
      <xdr:colOff>345199</xdr:colOff>
      <xdr:row>40</xdr:row>
      <xdr:rowOff>160245</xdr:rowOff>
    </xdr:to>
    <xdr:sp macro="" textlink="">
      <xdr:nvSpPr>
        <xdr:cNvPr id="14" name="強調線吹き出し 3 (枠付き) 13"/>
        <xdr:cNvSpPr/>
      </xdr:nvSpPr>
      <xdr:spPr>
        <a:xfrm>
          <a:off x="373774" y="6316195"/>
          <a:ext cx="2714625" cy="892550"/>
        </a:xfrm>
        <a:prstGeom prst="accentBorderCallout3">
          <a:avLst>
            <a:gd name="adj1" fmla="val 45361"/>
            <a:gd name="adj2" fmla="val 99899"/>
            <a:gd name="adj3" fmla="val -176233"/>
            <a:gd name="adj4" fmla="val 112696"/>
            <a:gd name="adj5" fmla="val -358825"/>
            <a:gd name="adj6" fmla="val 143481"/>
            <a:gd name="adj7" fmla="val -358712"/>
            <a:gd name="adj8" fmla="val 149914"/>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⑤巻き出し部（フレキ等）がある</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場合は、その分のヘッド数を</a:t>
          </a:r>
          <a:endParaRPr kumimoji="1" lang="en-US" altLang="ja-JP" sz="1400" b="1" i="0" baseline="0">
            <a:solidFill>
              <a:sysClr val="windowText" lastClr="000000"/>
            </a:solidFill>
            <a:latin typeface="+mn-lt"/>
            <a:ea typeface="+mn-ea"/>
            <a:cs typeface="+mn-cs"/>
          </a:endParaRPr>
        </a:p>
        <a:p>
          <a:pPr rtl="0"/>
          <a:r>
            <a:rPr kumimoji="1" lang="en-US" altLang="ja-JP" sz="1400" b="1" i="0" baseline="0">
              <a:solidFill>
                <a:sysClr val="windowText" lastClr="000000"/>
              </a:solidFill>
              <a:latin typeface="+mn-lt"/>
              <a:ea typeface="+mn-ea"/>
              <a:cs typeface="+mn-cs"/>
            </a:rPr>
            <a:t>     </a:t>
          </a:r>
          <a:r>
            <a:rPr kumimoji="1" lang="ja-JP" altLang="en-US" sz="1400" b="1" i="0" baseline="0">
              <a:solidFill>
                <a:sysClr val="windowText" lastClr="000000"/>
              </a:solidFill>
              <a:latin typeface="+mn-lt"/>
              <a:ea typeface="+mn-ea"/>
              <a:cs typeface="+mn-cs"/>
            </a:rPr>
            <a:t>記入します。</a:t>
          </a:r>
          <a:endParaRPr lang="en-US" altLang="ja-JP" sz="1400" b="1" i="0" baseline="0">
            <a:solidFill>
              <a:sysClr val="windowText" lastClr="000000"/>
            </a:solidFill>
            <a:latin typeface="+mn-lt"/>
            <a:ea typeface="+mn-ea"/>
            <a:cs typeface="+mn-cs"/>
          </a:endParaRPr>
        </a:p>
      </xdr:txBody>
    </xdr:sp>
    <xdr:clientData fPrintsWithSheet="0"/>
  </xdr:twoCellAnchor>
  <xdr:twoCellAnchor editAs="absolute">
    <xdr:from>
      <xdr:col>10</xdr:col>
      <xdr:colOff>171450</xdr:colOff>
      <xdr:row>15</xdr:row>
      <xdr:rowOff>133350</xdr:rowOff>
    </xdr:from>
    <xdr:to>
      <xdr:col>11</xdr:col>
      <xdr:colOff>495299</xdr:colOff>
      <xdr:row>19</xdr:row>
      <xdr:rowOff>161926</xdr:rowOff>
    </xdr:to>
    <xdr:sp macro="" textlink="">
      <xdr:nvSpPr>
        <xdr:cNvPr id="20" name="角丸四角形吹き出し 19"/>
        <xdr:cNvSpPr/>
      </xdr:nvSpPr>
      <xdr:spPr>
        <a:xfrm>
          <a:off x="7029450" y="2743200"/>
          <a:ext cx="1009649" cy="742951"/>
        </a:xfrm>
        <a:prstGeom prst="wedgeRoundRectCallout">
          <a:avLst>
            <a:gd name="adj1" fmla="val -63286"/>
            <a:gd name="adj2" fmla="val 42708"/>
            <a:gd name="adj3" fmla="val 16667"/>
          </a:avLst>
        </a:prstGeom>
        <a:solidFill>
          <a:srgbClr val="FFCCFF"/>
        </a:solid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配管</a:t>
          </a:r>
          <a:r>
            <a:rPr kumimoji="1" lang="ja-JP" altLang="en-US" sz="1100">
              <a:solidFill>
                <a:schemeClr val="tx1"/>
              </a:solidFill>
              <a:latin typeface="+mn-lt"/>
              <a:ea typeface="+mn-ea"/>
              <a:cs typeface="+mn-cs"/>
            </a:rPr>
            <a:t>容量</a:t>
          </a:r>
          <a:r>
            <a:rPr kumimoji="1" lang="ja-JP" altLang="ja-JP" sz="1100">
              <a:solidFill>
                <a:schemeClr val="tx1"/>
              </a:solidFill>
              <a:latin typeface="+mn-lt"/>
              <a:ea typeface="+mn-ea"/>
              <a:cs typeface="+mn-cs"/>
            </a:rPr>
            <a:t>が自動的に計算されます。</a:t>
          </a:r>
          <a:endParaRPr lang="ja-JP" altLang="ja-JP">
            <a:solidFill>
              <a:schemeClr val="tx1"/>
            </a:solidFill>
          </a:endParaRPr>
        </a:p>
      </xdr:txBody>
    </xdr:sp>
    <xdr:clientData fPrintsWithSheet="0"/>
  </xdr:twoCellAnchor>
  <xdr:twoCellAnchor>
    <xdr:from>
      <xdr:col>16</xdr:col>
      <xdr:colOff>47625</xdr:colOff>
      <xdr:row>5</xdr:row>
      <xdr:rowOff>28576</xdr:rowOff>
    </xdr:from>
    <xdr:to>
      <xdr:col>16</xdr:col>
      <xdr:colOff>316565</xdr:colOff>
      <xdr:row>25</xdr:row>
      <xdr:rowOff>134472</xdr:rowOff>
    </xdr:to>
    <xdr:sp macro="" textlink="">
      <xdr:nvSpPr>
        <xdr:cNvPr id="22" name="左中かっこ 21"/>
        <xdr:cNvSpPr/>
      </xdr:nvSpPr>
      <xdr:spPr>
        <a:xfrm flipH="1">
          <a:off x="10677525" y="942976"/>
          <a:ext cx="268940" cy="4001621"/>
        </a:xfrm>
        <a:prstGeom prst="leftBrace">
          <a:avLst>
            <a:gd name="adj1" fmla="val 49856"/>
            <a:gd name="adj2" fmla="val 24792"/>
          </a:avLst>
        </a:prstGeom>
        <a:ln w="50800">
          <a:solidFill>
            <a:srgbClr val="7030A0"/>
          </a:solidFill>
        </a:ln>
        <a:effectLst>
          <a:outerShdw blurRad="50800" dist="50800" dir="5400000" sx="1000" sy="1000" algn="ctr" rotWithShape="0">
            <a:srgbClr val="000000">
              <a:alpha val="43137"/>
            </a:srgbClr>
          </a:outerShdw>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fPrintsWithSheet="0"/>
  </xdr:twoCellAnchor>
  <xdr:twoCellAnchor editAs="absolute">
    <xdr:from>
      <xdr:col>17</xdr:col>
      <xdr:colOff>275665</xdr:colOff>
      <xdr:row>6</xdr:row>
      <xdr:rowOff>26333</xdr:rowOff>
    </xdr:from>
    <xdr:to>
      <xdr:col>21</xdr:col>
      <xdr:colOff>428064</xdr:colOff>
      <xdr:row>9</xdr:row>
      <xdr:rowOff>139514</xdr:rowOff>
    </xdr:to>
    <xdr:sp macro="" textlink="">
      <xdr:nvSpPr>
        <xdr:cNvPr id="23" name="角丸四角形吹き出し 22"/>
        <xdr:cNvSpPr/>
      </xdr:nvSpPr>
      <xdr:spPr>
        <a:xfrm>
          <a:off x="11248465" y="1121708"/>
          <a:ext cx="2895599" cy="627531"/>
        </a:xfrm>
        <a:prstGeom prst="wedgeRoundRectCallout">
          <a:avLst>
            <a:gd name="adj1" fmla="val -59210"/>
            <a:gd name="adj2" fmla="val 74270"/>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Ｂ．電動弁から最末端ヘッドまでの</a:t>
          </a:r>
          <a:endParaRPr lang="en-US" altLang="ja-JP" sz="1400" b="1" i="0" baseline="0">
            <a:solidFill>
              <a:schemeClr val="tx1"/>
            </a:solidFill>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　　  配管容量の</a:t>
          </a:r>
          <a:r>
            <a:rPr lang="ja-JP" altLang="en-US" sz="1400" b="1" i="0" u="sng" baseline="0">
              <a:solidFill>
                <a:schemeClr val="tx1"/>
              </a:solidFill>
              <a:latin typeface="+mn-lt"/>
              <a:ea typeface="+mn-ea"/>
              <a:cs typeface="+mn-cs"/>
            </a:rPr>
            <a:t>２倍</a:t>
          </a:r>
          <a:r>
            <a:rPr lang="ja-JP" altLang="en-US" sz="1400" b="1" i="0" baseline="0">
              <a:solidFill>
                <a:schemeClr val="tx1"/>
              </a:solidFill>
              <a:latin typeface="+mn-lt"/>
              <a:ea typeface="+mn-ea"/>
              <a:cs typeface="+mn-cs"/>
            </a:rPr>
            <a:t>の容量を計算</a:t>
          </a:r>
          <a:endParaRPr kumimoji="1" lang="ja-JP" altLang="ja-JP" sz="1400" b="1">
            <a:solidFill>
              <a:schemeClr val="tx1"/>
            </a:solidFill>
            <a:latin typeface="+mn-lt"/>
            <a:ea typeface="+mn-ea"/>
            <a:cs typeface="+mn-cs"/>
          </a:endParaRPr>
        </a:p>
      </xdr:txBody>
    </xdr:sp>
    <xdr:clientData fPrintsWithSheet="0"/>
  </xdr:twoCellAnchor>
  <xdr:twoCellAnchor editAs="absolute">
    <xdr:from>
      <xdr:col>17</xdr:col>
      <xdr:colOff>320488</xdr:colOff>
      <xdr:row>11</xdr:row>
      <xdr:rowOff>12887</xdr:rowOff>
    </xdr:from>
    <xdr:to>
      <xdr:col>21</xdr:col>
      <xdr:colOff>291913</xdr:colOff>
      <xdr:row>16</xdr:row>
      <xdr:rowOff>7845</xdr:rowOff>
    </xdr:to>
    <xdr:sp macro="" textlink="">
      <xdr:nvSpPr>
        <xdr:cNvPr id="24" name="強調線吹き出し 3 (枠付き) 23"/>
        <xdr:cNvSpPr/>
      </xdr:nvSpPr>
      <xdr:spPr>
        <a:xfrm>
          <a:off x="11293288" y="1984562"/>
          <a:ext cx="2714625" cy="852208"/>
        </a:xfrm>
        <a:prstGeom prst="accentBorderCallout3">
          <a:avLst>
            <a:gd name="adj1" fmla="val 55094"/>
            <a:gd name="adj2" fmla="val 4"/>
            <a:gd name="adj3" fmla="val 89863"/>
            <a:gd name="adj4" fmla="val -42534"/>
            <a:gd name="adj5" fmla="val 90023"/>
            <a:gd name="adj6" fmla="val -72407"/>
            <a:gd name="adj7" fmla="val 80115"/>
            <a:gd name="adj8" fmla="val -81806"/>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⑥電動弁から末端ヘッドまでの、</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呼び径毎の配管長を記入しま</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す。</a:t>
          </a:r>
          <a:endParaRPr lang="en-US" altLang="ja-JP" sz="1400" b="1" i="0" baseline="0">
            <a:solidFill>
              <a:sysClr val="windowText" lastClr="000000"/>
            </a:solidFill>
            <a:latin typeface="+mn-lt"/>
            <a:ea typeface="+mn-ea"/>
            <a:cs typeface="+mn-cs"/>
          </a:endParaRPr>
        </a:p>
      </xdr:txBody>
    </xdr:sp>
    <xdr:clientData fPrintsWithSheet="0"/>
  </xdr:twoCellAnchor>
  <xdr:twoCellAnchor editAs="absolute">
    <xdr:from>
      <xdr:col>0</xdr:col>
      <xdr:colOff>47625</xdr:colOff>
      <xdr:row>8</xdr:row>
      <xdr:rowOff>11206</xdr:rowOff>
    </xdr:from>
    <xdr:to>
      <xdr:col>4</xdr:col>
      <xdr:colOff>609600</xdr:colOff>
      <xdr:row>13</xdr:row>
      <xdr:rowOff>559</xdr:rowOff>
    </xdr:to>
    <xdr:sp macro="" textlink="">
      <xdr:nvSpPr>
        <xdr:cNvPr id="25" name="横巻き 24"/>
        <xdr:cNvSpPr/>
      </xdr:nvSpPr>
      <xdr:spPr>
        <a:xfrm>
          <a:off x="47625" y="1546412"/>
          <a:ext cx="3296210" cy="852206"/>
        </a:xfrm>
        <a:prstGeom prst="horizontalScrol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bg1"/>
              </a:solidFill>
            </a:rPr>
            <a:t>下記の手順で</a:t>
          </a:r>
          <a:r>
            <a:rPr kumimoji="1" lang="ja-JP" altLang="en-US" sz="1400" b="1" u="sng">
              <a:solidFill>
                <a:srgbClr val="0000FF"/>
              </a:solidFill>
            </a:rPr>
            <a:t>青色のセル</a:t>
          </a:r>
          <a:r>
            <a:rPr kumimoji="1" lang="ja-JP" altLang="en-US" sz="1400" b="1">
              <a:solidFill>
                <a:schemeClr val="bg1"/>
              </a:solidFill>
            </a:rPr>
            <a:t>に記入します</a:t>
          </a:r>
          <a:endParaRPr kumimoji="1" lang="en-US" altLang="ja-JP" sz="1400" b="1">
            <a:solidFill>
              <a:schemeClr val="bg1"/>
            </a:solidFill>
          </a:endParaRPr>
        </a:p>
        <a:p>
          <a:pPr algn="ctr"/>
          <a:r>
            <a:rPr kumimoji="1" lang="ja-JP" altLang="en-US" sz="1400" b="1">
              <a:solidFill>
                <a:schemeClr val="bg1"/>
              </a:solidFill>
            </a:rPr>
            <a:t>（吹出しや矢印は印刷されません）</a:t>
          </a:r>
        </a:p>
      </xdr:txBody>
    </xdr:sp>
    <xdr:clientData fPrintsWithSheet="0"/>
  </xdr:twoCellAnchor>
  <xdr:twoCellAnchor editAs="absolute">
    <xdr:from>
      <xdr:col>17</xdr:col>
      <xdr:colOff>320489</xdr:colOff>
      <xdr:row>16</xdr:row>
      <xdr:rowOff>112059</xdr:rowOff>
    </xdr:from>
    <xdr:to>
      <xdr:col>21</xdr:col>
      <xdr:colOff>291914</xdr:colOff>
      <xdr:row>21</xdr:row>
      <xdr:rowOff>81804</xdr:rowOff>
    </xdr:to>
    <xdr:sp macro="" textlink="">
      <xdr:nvSpPr>
        <xdr:cNvPr id="26" name="強調線吹き出し 3 (枠付き) 25"/>
        <xdr:cNvSpPr/>
      </xdr:nvSpPr>
      <xdr:spPr>
        <a:xfrm>
          <a:off x="11293289" y="2940984"/>
          <a:ext cx="2714625" cy="874620"/>
        </a:xfrm>
        <a:prstGeom prst="accentBorderCallout3">
          <a:avLst>
            <a:gd name="adj1" fmla="val 55041"/>
            <a:gd name="adj2" fmla="val 5"/>
            <a:gd name="adj3" fmla="val 40526"/>
            <a:gd name="adj4" fmla="val -38711"/>
            <a:gd name="adj5" fmla="val 41267"/>
            <a:gd name="adj6" fmla="val -102656"/>
            <a:gd name="adj7" fmla="val 28867"/>
            <a:gd name="adj8" fmla="val -111535"/>
          </a:avLst>
        </a:prstGeom>
        <a:solidFill>
          <a:srgbClr val="CCFFCC"/>
        </a:solidFill>
        <a:ln>
          <a:solidFill>
            <a:schemeClr val="accent1">
              <a:shade val="50000"/>
              <a:alpha val="99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⑦末端ヘッドに巻き出し部（フレキ</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等がある場合は、「１」を記入</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します。</a:t>
          </a:r>
          <a:endParaRPr lang="en-US" altLang="ja-JP" sz="1400" b="1" i="0" baseline="0">
            <a:solidFill>
              <a:sysClr val="windowText" lastClr="000000"/>
            </a:solidFill>
            <a:latin typeface="+mn-lt"/>
            <a:ea typeface="+mn-ea"/>
            <a:cs typeface="+mn-cs"/>
          </a:endParaRPr>
        </a:p>
      </xdr:txBody>
    </xdr:sp>
    <xdr:clientData fPrintsWithSheet="0"/>
  </xdr:twoCellAnchor>
  <xdr:twoCellAnchor editAs="absolute">
    <xdr:from>
      <xdr:col>0</xdr:col>
      <xdr:colOff>67234</xdr:colOff>
      <xdr:row>0</xdr:row>
      <xdr:rowOff>0</xdr:rowOff>
    </xdr:from>
    <xdr:to>
      <xdr:col>4</xdr:col>
      <xdr:colOff>590549</xdr:colOff>
      <xdr:row>8</xdr:row>
      <xdr:rowOff>0</xdr:rowOff>
    </xdr:to>
    <xdr:sp macro="" textlink="">
      <xdr:nvSpPr>
        <xdr:cNvPr id="19" name="小波 18"/>
        <xdr:cNvSpPr/>
      </xdr:nvSpPr>
      <xdr:spPr>
        <a:xfrm>
          <a:off x="67234" y="0"/>
          <a:ext cx="3257550" cy="1420906"/>
        </a:xfrm>
        <a:prstGeom prst="doubleWave">
          <a:avLst/>
        </a:prstGeom>
        <a:solidFill>
          <a:srgbClr val="FFCCFF"/>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u="none">
              <a:solidFill>
                <a:schemeClr val="tx1"/>
              </a:solidFill>
              <a:latin typeface="+mj-ea"/>
              <a:ea typeface="+mj-ea"/>
            </a:rPr>
            <a:t>本システムは、電動弁２次側の容量に応じて計算条件（流量）が変化するため、電動弁の系統毎に配管内容積を計算します</a:t>
          </a:r>
        </a:p>
      </xdr:txBody>
    </xdr:sp>
    <xdr:clientData fPrintsWithSheet="0"/>
  </xdr:twoCellAnchor>
  <xdr:twoCellAnchor editAs="absolute">
    <xdr:from>
      <xdr:col>17</xdr:col>
      <xdr:colOff>81243</xdr:colOff>
      <xdr:row>0</xdr:row>
      <xdr:rowOff>142875</xdr:rowOff>
    </xdr:from>
    <xdr:to>
      <xdr:col>21</xdr:col>
      <xdr:colOff>643218</xdr:colOff>
      <xdr:row>5</xdr:row>
      <xdr:rowOff>105334</xdr:rowOff>
    </xdr:to>
    <xdr:sp macro="" textlink="">
      <xdr:nvSpPr>
        <xdr:cNvPr id="32" name="横巻き 31"/>
        <xdr:cNvSpPr/>
      </xdr:nvSpPr>
      <xdr:spPr>
        <a:xfrm>
          <a:off x="11054043" y="142875"/>
          <a:ext cx="3305175" cy="876859"/>
        </a:xfrm>
        <a:prstGeom prst="horizontalScrol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bg1"/>
              </a:solidFill>
            </a:rPr>
            <a:t>下記の手順で</a:t>
          </a:r>
          <a:r>
            <a:rPr kumimoji="1" lang="ja-JP" altLang="en-US" sz="1400" b="1" u="sng">
              <a:solidFill>
                <a:srgbClr val="0000FF"/>
              </a:solidFill>
            </a:rPr>
            <a:t>青色のセル</a:t>
          </a:r>
          <a:r>
            <a:rPr kumimoji="1" lang="ja-JP" altLang="en-US" sz="1400" b="1">
              <a:solidFill>
                <a:schemeClr val="bg1"/>
              </a:solidFill>
            </a:rPr>
            <a:t>に記入します</a:t>
          </a:r>
          <a:endParaRPr kumimoji="1" lang="en-US" altLang="ja-JP" sz="1400" b="1">
            <a:solidFill>
              <a:schemeClr val="bg1"/>
            </a:solidFill>
          </a:endParaRPr>
        </a:p>
        <a:p>
          <a:pPr algn="ctr"/>
          <a:r>
            <a:rPr kumimoji="1" lang="ja-JP" altLang="en-US" sz="1400" b="1">
              <a:solidFill>
                <a:schemeClr val="bg1"/>
              </a:solidFill>
            </a:rPr>
            <a:t>（吹出しや矢印は印刷されません）</a:t>
          </a:r>
        </a:p>
      </xdr:txBody>
    </xdr:sp>
    <xdr:clientData fPrintsWithSheet="0"/>
  </xdr:twoCellAnchor>
  <xdr:twoCellAnchor editAs="absolute">
    <xdr:from>
      <xdr:col>17</xdr:col>
      <xdr:colOff>266140</xdr:colOff>
      <xdr:row>38</xdr:row>
      <xdr:rowOff>73958</xdr:rowOff>
    </xdr:from>
    <xdr:to>
      <xdr:col>21</xdr:col>
      <xdr:colOff>418539</xdr:colOff>
      <xdr:row>42</xdr:row>
      <xdr:rowOff>15689</xdr:rowOff>
    </xdr:to>
    <xdr:sp macro="" textlink="">
      <xdr:nvSpPr>
        <xdr:cNvPr id="89" name="角丸四角形吹き出し 88"/>
        <xdr:cNvSpPr/>
      </xdr:nvSpPr>
      <xdr:spPr>
        <a:xfrm>
          <a:off x="11238940" y="6779558"/>
          <a:ext cx="2895599" cy="627531"/>
        </a:xfrm>
        <a:prstGeom prst="wedgeRoundRectCallout">
          <a:avLst>
            <a:gd name="adj1" fmla="val -117225"/>
            <a:gd name="adj2" fmla="val -35097"/>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Ｃ．給水方式と落差を入力</a:t>
          </a:r>
          <a:endParaRPr kumimoji="1" lang="ja-JP" altLang="en-US" sz="1100"/>
        </a:p>
      </xdr:txBody>
    </xdr:sp>
    <xdr:clientData fPrintsWithSheet="0"/>
  </xdr:twoCellAnchor>
  <xdr:twoCellAnchor>
    <xdr:from>
      <xdr:col>8</xdr:col>
      <xdr:colOff>19053</xdr:colOff>
      <xdr:row>25</xdr:row>
      <xdr:rowOff>57149</xdr:rowOff>
    </xdr:from>
    <xdr:to>
      <xdr:col>15</xdr:col>
      <xdr:colOff>3</xdr:colOff>
      <xdr:row>27</xdr:row>
      <xdr:rowOff>1002</xdr:rowOff>
    </xdr:to>
    <xdr:sp macro="" textlink="">
      <xdr:nvSpPr>
        <xdr:cNvPr id="222" name="左中かっこ 221"/>
        <xdr:cNvSpPr/>
      </xdr:nvSpPr>
      <xdr:spPr>
        <a:xfrm rot="16200000">
          <a:off x="7752851" y="2210301"/>
          <a:ext cx="286753" cy="4781550"/>
        </a:xfrm>
        <a:prstGeom prst="leftBrace">
          <a:avLst>
            <a:gd name="adj1" fmla="val 66432"/>
            <a:gd name="adj2" fmla="val 82460"/>
          </a:avLst>
        </a:prstGeom>
        <a:ln w="50800">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fPrintsWithSheet="0"/>
  </xdr:twoCellAnchor>
  <xdr:twoCellAnchor editAs="absolute">
    <xdr:from>
      <xdr:col>14</xdr:col>
      <xdr:colOff>66341</xdr:colOff>
      <xdr:row>32</xdr:row>
      <xdr:rowOff>28575</xdr:rowOff>
    </xdr:from>
    <xdr:to>
      <xdr:col>19</xdr:col>
      <xdr:colOff>191169</xdr:colOff>
      <xdr:row>37</xdr:row>
      <xdr:rowOff>19050</xdr:rowOff>
    </xdr:to>
    <xdr:sp macro="" textlink="">
      <xdr:nvSpPr>
        <xdr:cNvPr id="223" name="角丸四角形吹き出し 222"/>
        <xdr:cNvSpPr/>
      </xdr:nvSpPr>
      <xdr:spPr>
        <a:xfrm>
          <a:off x="9324641" y="5705475"/>
          <a:ext cx="3210928" cy="847725"/>
        </a:xfrm>
        <a:prstGeom prst="wedgeRoundRectCallout">
          <a:avLst>
            <a:gd name="adj1" fmla="val -55812"/>
            <a:gd name="adj2" fmla="val -153789"/>
            <a:gd name="adj3" fmla="val 16667"/>
          </a:avLst>
        </a:prstGeom>
        <a:solidFill>
          <a:srgbClr val="FFCCFF"/>
        </a:solid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（ア）と（イ）を比較して大きい値で算出した流量Ａ，Ｂのみを自動計算して表示し、その値が各計算書へ転送されます。</a:t>
          </a:r>
          <a:endParaRPr kumimoji="1" lang="en-US" altLang="ja-JP" sz="1100">
            <a:solidFill>
              <a:schemeClr val="tx1"/>
            </a:solidFill>
            <a:latin typeface="+mn-lt"/>
            <a:ea typeface="+mn-ea"/>
            <a:cs typeface="+mn-cs"/>
          </a:endParaRPr>
        </a:p>
      </xdr:txBody>
    </xdr:sp>
    <xdr:clientData fPrintsWithSheet="0"/>
  </xdr:twoCellAnchor>
  <xdr:twoCellAnchor editAs="absolute">
    <xdr:from>
      <xdr:col>10</xdr:col>
      <xdr:colOff>191287</xdr:colOff>
      <xdr:row>63</xdr:row>
      <xdr:rowOff>36979</xdr:rowOff>
    </xdr:from>
    <xdr:to>
      <xdr:col>14</xdr:col>
      <xdr:colOff>316116</xdr:colOff>
      <xdr:row>66</xdr:row>
      <xdr:rowOff>50426</xdr:rowOff>
    </xdr:to>
    <xdr:sp macro="" textlink="">
      <xdr:nvSpPr>
        <xdr:cNvPr id="183" name="角丸四角形吹き出し 182"/>
        <xdr:cNvSpPr/>
      </xdr:nvSpPr>
      <xdr:spPr>
        <a:xfrm>
          <a:off x="6706387" y="11057404"/>
          <a:ext cx="2868029" cy="527797"/>
        </a:xfrm>
        <a:prstGeom prst="wedgeRoundRectCallout">
          <a:avLst>
            <a:gd name="adj1" fmla="val -20944"/>
            <a:gd name="adj2" fmla="val -187496"/>
            <a:gd name="adj3" fmla="val 16667"/>
          </a:avLst>
        </a:prstGeom>
        <a:solidFill>
          <a:srgbClr val="CCFFCC"/>
        </a:solid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計算結果を設計図面（系統図）の該当する電動弁に記載してください。</a:t>
          </a:r>
        </a:p>
      </xdr:txBody>
    </xdr:sp>
    <xdr:clientData fPrintsWithSheet="0"/>
  </xdr:twoCellAnchor>
  <xdr:twoCellAnchor>
    <xdr:from>
      <xdr:col>6</xdr:col>
      <xdr:colOff>28576</xdr:colOff>
      <xdr:row>29</xdr:row>
      <xdr:rowOff>133350</xdr:rowOff>
    </xdr:from>
    <xdr:to>
      <xdr:col>13</xdr:col>
      <xdr:colOff>454462</xdr:colOff>
      <xdr:row>45</xdr:row>
      <xdr:rowOff>26023</xdr:rowOff>
    </xdr:to>
    <xdr:sp macro="" textlink="">
      <xdr:nvSpPr>
        <xdr:cNvPr id="369" name="AutoShape 126"/>
        <xdr:cNvSpPr>
          <a:spLocks noChangeArrowheads="1"/>
        </xdr:cNvSpPr>
      </xdr:nvSpPr>
      <xdr:spPr bwMode="auto">
        <a:xfrm>
          <a:off x="3800476" y="5267325"/>
          <a:ext cx="5226486" cy="2664448"/>
        </a:xfrm>
        <a:prstGeom prst="roundRect">
          <a:avLst>
            <a:gd name="adj" fmla="val 2704"/>
          </a:avLst>
        </a:prstGeom>
        <a:solidFill>
          <a:schemeClr val="bg1"/>
        </a:solidFill>
        <a:ln w="9525">
          <a:solidFill>
            <a:srgbClr val="000000"/>
          </a:solidFill>
          <a:round/>
          <a:headEnd/>
          <a:tailEnd/>
        </a:ln>
      </xdr:spPr>
    </xdr:sp>
    <xdr:clientData/>
  </xdr:twoCellAnchor>
  <xdr:twoCellAnchor>
    <xdr:from>
      <xdr:col>6</xdr:col>
      <xdr:colOff>131872</xdr:colOff>
      <xdr:row>29</xdr:row>
      <xdr:rowOff>163542</xdr:rowOff>
    </xdr:from>
    <xdr:to>
      <xdr:col>11</xdr:col>
      <xdr:colOff>76191</xdr:colOff>
      <xdr:row>31</xdr:row>
      <xdr:rowOff>28536</xdr:rowOff>
    </xdr:to>
    <xdr:sp macro="" textlink="">
      <xdr:nvSpPr>
        <xdr:cNvPr id="367" name="Rectangle 124"/>
        <xdr:cNvSpPr>
          <a:spLocks noChangeArrowheads="1"/>
        </xdr:cNvSpPr>
      </xdr:nvSpPr>
      <xdr:spPr bwMode="auto">
        <a:xfrm>
          <a:off x="3903772" y="5297517"/>
          <a:ext cx="3373319" cy="226944"/>
        </a:xfrm>
        <a:prstGeom prst="rect">
          <a:avLst/>
        </a:prstGeom>
        <a:noFill/>
        <a:ln w="6350">
          <a:noFill/>
          <a:miter lim="800000"/>
          <a:headEnd/>
          <a:tailEnd/>
        </a:ln>
      </xdr:spPr>
      <xdr:txBody>
        <a:bodyPr vertOverflow="clip" wrap="square" lIns="0" tIns="0" rIns="0" bIns="0" anchor="t" upright="1"/>
        <a:lstStyle/>
        <a:p>
          <a:pPr algn="l" rtl="0">
            <a:defRPr sz="1000"/>
          </a:pPr>
          <a:r>
            <a:rPr lang="ja-JP" altLang="en-US" sz="1200" b="1" i="0" u="none" strike="noStrike" baseline="0">
              <a:solidFill>
                <a:srgbClr val="000000"/>
              </a:solidFill>
              <a:latin typeface="Times New Roman"/>
              <a:cs typeface="Times New Roman"/>
            </a:rPr>
            <a:t>水道用ブースターポンプを設置する方式</a:t>
          </a:r>
        </a:p>
      </xdr:txBody>
    </xdr:sp>
    <xdr:clientData/>
  </xdr:twoCellAnchor>
  <xdr:twoCellAnchor>
    <xdr:from>
      <xdr:col>6</xdr:col>
      <xdr:colOff>160511</xdr:colOff>
      <xdr:row>31</xdr:row>
      <xdr:rowOff>69507</xdr:rowOff>
    </xdr:from>
    <xdr:to>
      <xdr:col>13</xdr:col>
      <xdr:colOff>438039</xdr:colOff>
      <xdr:row>44</xdr:row>
      <xdr:rowOff>133412</xdr:rowOff>
    </xdr:to>
    <xdr:grpSp>
      <xdr:nvGrpSpPr>
        <xdr:cNvPr id="314" name="Group 127"/>
        <xdr:cNvGrpSpPr>
          <a:grpSpLocks/>
        </xdr:cNvGrpSpPr>
      </xdr:nvGrpSpPr>
      <xdr:grpSpPr bwMode="auto">
        <a:xfrm>
          <a:off x="3932411" y="5565432"/>
          <a:ext cx="5078128" cy="2302280"/>
          <a:chOff x="1330" y="11062"/>
          <a:chExt cx="9276" cy="3931"/>
        </a:xfrm>
      </xdr:grpSpPr>
      <xdr:grpSp>
        <xdr:nvGrpSpPr>
          <xdr:cNvPr id="315" name="Group 128"/>
          <xdr:cNvGrpSpPr>
            <a:grpSpLocks/>
          </xdr:cNvGrpSpPr>
        </xdr:nvGrpSpPr>
        <xdr:grpSpPr bwMode="auto">
          <a:xfrm>
            <a:off x="1330" y="11062"/>
            <a:ext cx="8389" cy="3931"/>
            <a:chOff x="1330" y="11062"/>
            <a:chExt cx="8389" cy="3931"/>
          </a:xfrm>
        </xdr:grpSpPr>
        <xdr:grpSp>
          <xdr:nvGrpSpPr>
            <xdr:cNvPr id="330" name="Group 129"/>
            <xdr:cNvGrpSpPr>
              <a:grpSpLocks/>
            </xdr:cNvGrpSpPr>
          </xdr:nvGrpSpPr>
          <xdr:grpSpPr bwMode="auto">
            <a:xfrm>
              <a:off x="5230" y="11204"/>
              <a:ext cx="1710" cy="2750"/>
              <a:chOff x="5430" y="11985"/>
              <a:chExt cx="1710" cy="2750"/>
            </a:xfrm>
          </xdr:grpSpPr>
          <xdr:cxnSp macro="">
            <xdr:nvCxnSpPr>
              <xdr:cNvPr id="360" name="AutoShape 130"/>
              <xdr:cNvCxnSpPr>
                <a:cxnSpLocks noChangeShapeType="1"/>
              </xdr:cNvCxnSpPr>
            </xdr:nvCxnSpPr>
            <xdr:spPr bwMode="auto">
              <a:xfrm>
                <a:off x="6345" y="13179"/>
                <a:ext cx="293" cy="1"/>
              </a:xfrm>
              <a:prstGeom prst="straightConnector1">
                <a:avLst/>
              </a:prstGeom>
              <a:noFill/>
              <a:ln w="38100">
                <a:solidFill>
                  <a:srgbClr val="00B0F0"/>
                </a:solidFill>
                <a:round/>
                <a:headEnd/>
                <a:tailEnd/>
              </a:ln>
            </xdr:spPr>
          </xdr:cxnSp>
          <xdr:cxnSp macro="">
            <xdr:nvCxnSpPr>
              <xdr:cNvPr id="361" name="AutoShape 131"/>
              <xdr:cNvCxnSpPr>
                <a:cxnSpLocks noChangeShapeType="1"/>
              </xdr:cNvCxnSpPr>
            </xdr:nvCxnSpPr>
            <xdr:spPr bwMode="auto">
              <a:xfrm flipH="1" flipV="1">
                <a:off x="6360" y="12669"/>
                <a:ext cx="7" cy="2047"/>
              </a:xfrm>
              <a:prstGeom prst="straightConnector1">
                <a:avLst/>
              </a:prstGeom>
              <a:noFill/>
              <a:ln w="38100">
                <a:solidFill>
                  <a:srgbClr val="365F91"/>
                </a:solidFill>
                <a:round/>
                <a:headEnd/>
                <a:tailEnd/>
              </a:ln>
            </xdr:spPr>
          </xdr:cxnSp>
          <xdr:sp macro="" textlink="">
            <xdr:nvSpPr>
              <xdr:cNvPr id="362" name="Rectangle 132"/>
              <xdr:cNvSpPr>
                <a:spLocks noChangeArrowheads="1"/>
              </xdr:cNvSpPr>
            </xdr:nvSpPr>
            <xdr:spPr bwMode="auto">
              <a:xfrm>
                <a:off x="5430" y="11985"/>
                <a:ext cx="1710" cy="68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800" b="0" i="0" u="none" strike="noStrike" baseline="0">
                    <a:solidFill>
                      <a:srgbClr val="000000"/>
                    </a:solidFill>
                    <a:latin typeface="ＭＳ ゴシック" pitchFamily="49" charset="-128"/>
                    <a:ea typeface="ＭＳ ゴシック" pitchFamily="49" charset="-128"/>
                  </a:rPr>
                  <a:t>浴室・台所など</a:t>
                </a:r>
                <a:endParaRPr lang="ja-JP" altLang="en-US" sz="800" b="0" i="0" u="none" strike="noStrike" baseline="0">
                  <a:solidFill>
                    <a:srgbClr val="000000"/>
                  </a:solidFill>
                  <a:latin typeface="ＭＳ ゴシック" pitchFamily="49" charset="-128"/>
                  <a:ea typeface="ＭＳ ゴシック" pitchFamily="49" charset="-128"/>
                  <a:cs typeface="Times New Roman"/>
                </a:endParaRPr>
              </a:p>
              <a:p>
                <a:pPr algn="ctr" rtl="0">
                  <a:defRPr sz="1000"/>
                </a:pPr>
                <a:r>
                  <a:rPr lang="ja-JP" altLang="en-US" sz="800" b="0" i="0" u="none" strike="noStrike" baseline="0">
                    <a:solidFill>
                      <a:srgbClr val="000000"/>
                    </a:solidFill>
                    <a:latin typeface="ＭＳ ゴシック" pitchFamily="49" charset="-128"/>
                    <a:ea typeface="ＭＳ ゴシック" pitchFamily="49" charset="-128"/>
                  </a:rPr>
                  <a:t>給水栓</a:t>
                </a:r>
                <a:endParaRPr lang="ja-JP" altLang="en-US" sz="800" b="0" i="0" u="none" strike="noStrike" baseline="0">
                  <a:solidFill>
                    <a:srgbClr val="000000"/>
                  </a:solidFill>
                  <a:latin typeface="ＭＳ ゴシック" pitchFamily="49" charset="-128"/>
                  <a:ea typeface="ＭＳ ゴシック" pitchFamily="49" charset="-128"/>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xnSp macro="">
            <xdr:nvCxnSpPr>
              <xdr:cNvPr id="363" name="AutoShape 133"/>
              <xdr:cNvCxnSpPr>
                <a:cxnSpLocks noChangeShapeType="1"/>
              </xdr:cNvCxnSpPr>
            </xdr:nvCxnSpPr>
            <xdr:spPr bwMode="auto">
              <a:xfrm>
                <a:off x="5581" y="14707"/>
                <a:ext cx="818" cy="1"/>
              </a:xfrm>
              <a:prstGeom prst="straightConnector1">
                <a:avLst/>
              </a:prstGeom>
              <a:noFill/>
              <a:ln w="38100">
                <a:solidFill>
                  <a:srgbClr val="365F91"/>
                </a:solidFill>
                <a:round/>
                <a:headEnd/>
                <a:tailEnd/>
              </a:ln>
            </xdr:spPr>
          </xdr:cxnSp>
          <xdr:sp macro="" textlink="">
            <xdr:nvSpPr>
              <xdr:cNvPr id="364" name="Rectangle 134"/>
              <xdr:cNvSpPr>
                <a:spLocks noChangeArrowheads="1"/>
              </xdr:cNvSpPr>
            </xdr:nvSpPr>
            <xdr:spPr bwMode="auto">
              <a:xfrm>
                <a:off x="5482" y="14424"/>
                <a:ext cx="1041" cy="311"/>
              </a:xfrm>
              <a:prstGeom prst="rect">
                <a:avLst/>
              </a:prstGeom>
              <a:noFill/>
              <a:ln w="9525">
                <a:noFill/>
                <a:miter lim="800000"/>
                <a:headEnd/>
                <a:tailEnd/>
              </a:ln>
            </xdr:spPr>
            <xdr:txBody>
              <a:bodyPr vertOverflow="clip" wrap="square" lIns="0" tIns="8890" rIns="0" bIns="8890" anchor="t" upright="1"/>
              <a:lstStyle/>
              <a:p>
                <a:pPr algn="ctr" rtl="0">
                  <a:defRPr sz="1000"/>
                </a:pPr>
                <a:r>
                  <a:rPr lang="ja-JP" altLang="en-US" sz="900" b="0" i="0" u="none" strike="noStrike" baseline="0">
                    <a:solidFill>
                      <a:srgbClr val="000000"/>
                    </a:solidFill>
                    <a:latin typeface="+mj-ea"/>
                    <a:ea typeface="+mj-ea"/>
                  </a:rPr>
                  <a:t>給水管</a:t>
                </a:r>
                <a:endParaRPr lang="ja-JP" altLang="en-US" sz="900" b="0" i="0" u="none" strike="noStrike" baseline="0">
                  <a:solidFill>
                    <a:srgbClr val="000000"/>
                  </a:solidFill>
                  <a:latin typeface="+mj-ea"/>
                  <a:ea typeface="+mj-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sp macro="" textlink="">
          <xdr:nvSpPr>
            <xdr:cNvPr id="331" name="Rectangle 135"/>
            <xdr:cNvSpPr>
              <a:spLocks noChangeArrowheads="1"/>
            </xdr:cNvSpPr>
          </xdr:nvSpPr>
          <xdr:spPr bwMode="auto">
            <a:xfrm>
              <a:off x="2255" y="13686"/>
              <a:ext cx="1096" cy="608"/>
            </a:xfrm>
            <a:prstGeom prst="rect">
              <a:avLst/>
            </a:prstGeom>
            <a:solidFill>
              <a:srgbClr val="548DD4">
                <a:alpha val="50000"/>
              </a:srgbClr>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700" b="0" i="0" u="none" strike="noStrike" baseline="0">
                  <a:solidFill>
                    <a:srgbClr val="000000"/>
                  </a:solidFill>
                  <a:latin typeface="ＭＳ 明朝"/>
                  <a:ea typeface="ＭＳ 明朝"/>
                </a:rPr>
                <a:t>水道</a:t>
              </a:r>
              <a:endParaRPr lang="ja-JP" altLang="en-US" sz="700" b="0" i="0" u="none" strike="noStrike" baseline="0">
                <a:solidFill>
                  <a:srgbClr val="000000"/>
                </a:solidFill>
                <a:latin typeface="Times New Roman"/>
                <a:cs typeface="Times New Roman"/>
              </a:endParaRPr>
            </a:p>
            <a:p>
              <a:pPr algn="ctr" rtl="0">
                <a:defRPr sz="1000"/>
              </a:pPr>
              <a:r>
                <a:rPr lang="ja-JP" altLang="en-US" sz="700" b="0" i="0" u="none" strike="noStrike" baseline="0">
                  <a:solidFill>
                    <a:srgbClr val="000000"/>
                  </a:solidFill>
                  <a:latin typeface="ＭＳ 明朝"/>
                  <a:ea typeface="ＭＳ 明朝"/>
                </a:rPr>
                <a:t>メーター</a:t>
              </a:r>
              <a:endParaRPr lang="ja-JP" altLang="en-US" sz="7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nvGrpSpPr>
            <xdr:cNvPr id="332" name="Group 136"/>
            <xdr:cNvGrpSpPr>
              <a:grpSpLocks/>
            </xdr:cNvGrpSpPr>
          </xdr:nvGrpSpPr>
          <xdr:grpSpPr bwMode="auto">
            <a:xfrm>
              <a:off x="1330" y="13889"/>
              <a:ext cx="1028" cy="1104"/>
              <a:chOff x="2085" y="14670"/>
              <a:chExt cx="1028" cy="1104"/>
            </a:xfrm>
          </xdr:grpSpPr>
          <xdr:grpSp>
            <xdr:nvGrpSpPr>
              <xdr:cNvPr id="354" name="Group 137"/>
              <xdr:cNvGrpSpPr>
                <a:grpSpLocks/>
              </xdr:cNvGrpSpPr>
            </xdr:nvGrpSpPr>
            <xdr:grpSpPr bwMode="auto">
              <a:xfrm>
                <a:off x="2176" y="14670"/>
                <a:ext cx="937" cy="820"/>
                <a:chOff x="1809" y="14692"/>
                <a:chExt cx="937" cy="820"/>
              </a:xfrm>
            </xdr:grpSpPr>
            <xdr:cxnSp macro="">
              <xdr:nvCxnSpPr>
                <xdr:cNvPr id="356" name="AutoShape 138"/>
                <xdr:cNvCxnSpPr>
                  <a:cxnSpLocks noChangeShapeType="1"/>
                </xdr:cNvCxnSpPr>
              </xdr:nvCxnSpPr>
              <xdr:spPr bwMode="auto">
                <a:xfrm>
                  <a:off x="2506" y="14700"/>
                  <a:ext cx="240" cy="1"/>
                </a:xfrm>
                <a:prstGeom prst="straightConnector1">
                  <a:avLst/>
                </a:prstGeom>
                <a:noFill/>
                <a:ln w="38100">
                  <a:solidFill>
                    <a:srgbClr val="365F91"/>
                  </a:solidFill>
                  <a:round/>
                  <a:headEnd/>
                  <a:tailEnd/>
                </a:ln>
              </xdr:spPr>
            </xdr:cxnSp>
            <xdr:cxnSp macro="">
              <xdr:nvCxnSpPr>
                <xdr:cNvPr id="357" name="AutoShape 139"/>
                <xdr:cNvCxnSpPr>
                  <a:cxnSpLocks noChangeShapeType="1"/>
                </xdr:cNvCxnSpPr>
              </xdr:nvCxnSpPr>
              <xdr:spPr bwMode="auto">
                <a:xfrm flipV="1">
                  <a:off x="2528" y="14692"/>
                  <a:ext cx="1" cy="572"/>
                </a:xfrm>
                <a:prstGeom prst="straightConnector1">
                  <a:avLst/>
                </a:prstGeom>
                <a:noFill/>
                <a:ln w="38100">
                  <a:solidFill>
                    <a:srgbClr val="365F91"/>
                  </a:solidFill>
                  <a:round/>
                  <a:headEnd/>
                  <a:tailEnd/>
                </a:ln>
              </xdr:spPr>
            </xdr:cxnSp>
            <xdr:cxnSp macro="">
              <xdr:nvCxnSpPr>
                <xdr:cNvPr id="358" name="AutoShape 140"/>
                <xdr:cNvCxnSpPr>
                  <a:cxnSpLocks noChangeShapeType="1"/>
                </xdr:cNvCxnSpPr>
              </xdr:nvCxnSpPr>
              <xdr:spPr bwMode="auto">
                <a:xfrm>
                  <a:off x="2311" y="15248"/>
                  <a:ext cx="240" cy="1"/>
                </a:xfrm>
                <a:prstGeom prst="straightConnector1">
                  <a:avLst/>
                </a:prstGeom>
                <a:noFill/>
                <a:ln w="38100">
                  <a:solidFill>
                    <a:srgbClr val="365F91"/>
                  </a:solidFill>
                  <a:round/>
                  <a:headEnd/>
                  <a:tailEnd/>
                </a:ln>
              </xdr:spPr>
            </xdr:cxnSp>
            <xdr:sp macro="" textlink="">
              <xdr:nvSpPr>
                <xdr:cNvPr id="359" name="Oval 141"/>
                <xdr:cNvSpPr>
                  <a:spLocks noChangeArrowheads="1"/>
                </xdr:cNvSpPr>
              </xdr:nvSpPr>
              <xdr:spPr bwMode="auto">
                <a:xfrm>
                  <a:off x="1809" y="14987"/>
                  <a:ext cx="503" cy="525"/>
                </a:xfrm>
                <a:prstGeom prst="ellipse">
                  <a:avLst/>
                </a:prstGeom>
                <a:solidFill>
                  <a:srgbClr val="548DD4">
                    <a:alpha val="50000"/>
                  </a:srgbClr>
                </a:solidFill>
                <a:ln w="9525" algn="ctr">
                  <a:solidFill>
                    <a:srgbClr val="000000"/>
                  </a:solidFill>
                  <a:round/>
                  <a:headEnd/>
                  <a:tailEnd/>
                </a:ln>
                <a:effectLst/>
              </xdr:spPr>
            </xdr:sp>
          </xdr:grpSp>
          <xdr:sp macro="" textlink="">
            <xdr:nvSpPr>
              <xdr:cNvPr id="355" name="Rectangle 142"/>
              <xdr:cNvSpPr>
                <a:spLocks noChangeArrowheads="1"/>
              </xdr:cNvSpPr>
            </xdr:nvSpPr>
            <xdr:spPr bwMode="auto">
              <a:xfrm>
                <a:off x="2085" y="15501"/>
                <a:ext cx="994" cy="273"/>
              </a:xfrm>
              <a:prstGeom prst="rect">
                <a:avLst/>
              </a:prstGeom>
              <a:noFill/>
              <a:ln w="9525">
                <a:noFill/>
                <a:miter lim="800000"/>
                <a:headEnd/>
                <a:tailEnd/>
              </a:ln>
            </xdr:spPr>
            <xdr:txBody>
              <a:bodyPr vertOverflow="clip" wrap="square" lIns="0" tIns="8890" rIns="0" bIns="8890" anchor="t" upright="1"/>
              <a:lstStyle/>
              <a:p>
                <a:pPr algn="l" rtl="0">
                  <a:defRPr sz="1000"/>
                </a:pPr>
                <a:r>
                  <a:rPr lang="ja-JP" altLang="en-US" sz="900" b="0" i="0" u="none" strike="noStrike" baseline="0">
                    <a:solidFill>
                      <a:srgbClr val="000000"/>
                    </a:solidFill>
                    <a:latin typeface="+mj-ea"/>
                    <a:ea typeface="+mj-ea"/>
                  </a:rPr>
                  <a:t>配水管</a:t>
                </a:r>
                <a:endParaRPr lang="ja-JP" altLang="en-US" sz="900" b="0" i="0" u="none" strike="noStrike" baseline="0">
                  <a:solidFill>
                    <a:srgbClr val="000000"/>
                  </a:solidFill>
                  <a:latin typeface="+mj-ea"/>
                  <a:ea typeface="+mj-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grpSp>
          <xdr:nvGrpSpPr>
            <xdr:cNvPr id="333" name="Group 143"/>
            <xdr:cNvGrpSpPr>
              <a:grpSpLocks/>
            </xdr:cNvGrpSpPr>
          </xdr:nvGrpSpPr>
          <xdr:grpSpPr bwMode="auto">
            <a:xfrm>
              <a:off x="4434" y="13178"/>
              <a:ext cx="1005" cy="727"/>
              <a:chOff x="4524" y="13178"/>
              <a:chExt cx="915" cy="727"/>
            </a:xfrm>
          </xdr:grpSpPr>
          <xdr:cxnSp macro="">
            <xdr:nvCxnSpPr>
              <xdr:cNvPr id="352" name="AutoShape 144"/>
              <xdr:cNvCxnSpPr>
                <a:cxnSpLocks noChangeShapeType="1"/>
              </xdr:cNvCxnSpPr>
            </xdr:nvCxnSpPr>
            <xdr:spPr bwMode="auto">
              <a:xfrm>
                <a:off x="4524" y="13210"/>
                <a:ext cx="915" cy="1"/>
              </a:xfrm>
              <a:prstGeom prst="straightConnector1">
                <a:avLst/>
              </a:prstGeom>
              <a:noFill/>
              <a:ln w="38100">
                <a:solidFill>
                  <a:srgbClr val="365F91"/>
                </a:solidFill>
                <a:round/>
                <a:headEnd/>
                <a:tailEnd/>
              </a:ln>
            </xdr:spPr>
          </xdr:cxnSp>
          <xdr:cxnSp macro="">
            <xdr:nvCxnSpPr>
              <xdr:cNvPr id="353" name="AutoShape 145"/>
              <xdr:cNvCxnSpPr>
                <a:cxnSpLocks noChangeShapeType="1"/>
              </xdr:cNvCxnSpPr>
            </xdr:nvCxnSpPr>
            <xdr:spPr bwMode="auto">
              <a:xfrm flipH="1" flipV="1">
                <a:off x="5409" y="13178"/>
                <a:ext cx="3" cy="727"/>
              </a:xfrm>
              <a:prstGeom prst="straightConnector1">
                <a:avLst/>
              </a:prstGeom>
              <a:noFill/>
              <a:ln w="38100">
                <a:solidFill>
                  <a:srgbClr val="365F91"/>
                </a:solidFill>
                <a:round/>
                <a:headEnd/>
                <a:tailEnd/>
              </a:ln>
            </xdr:spPr>
          </xdr:cxnSp>
        </xdr:grpSp>
        <xdr:sp macro="" textlink="">
          <xdr:nvSpPr>
            <xdr:cNvPr id="334" name="Rectangle 146"/>
            <xdr:cNvSpPr>
              <a:spLocks noChangeArrowheads="1"/>
            </xdr:cNvSpPr>
          </xdr:nvSpPr>
          <xdr:spPr bwMode="auto">
            <a:xfrm>
              <a:off x="3634" y="12697"/>
              <a:ext cx="795" cy="1060"/>
            </a:xfrm>
            <a:prstGeom prst="rect">
              <a:avLst/>
            </a:prstGeom>
            <a:solidFill>
              <a:srgbClr val="92D050"/>
            </a:solidFill>
            <a:ln w="12700">
              <a:solidFill>
                <a:srgbClr val="000000"/>
              </a:solidFill>
              <a:miter lim="800000"/>
              <a:headEnd/>
              <a:tailEnd/>
            </a:ln>
          </xdr:spPr>
          <xdr:txBody>
            <a:bodyPr vertOverflow="clip" wrap="square" lIns="0" tIns="8890" rIns="0" bIns="8890" anchor="ctr" upright="1"/>
            <a:lstStyle/>
            <a:p>
              <a:pPr algn="l" rtl="0">
                <a:defRPr sz="1000"/>
              </a:pPr>
              <a:endParaRPr lang="ja-JP" altLang="en-US" sz="700" b="0" i="0" u="none" strike="noStrike" baseline="0">
                <a:solidFill>
                  <a:srgbClr val="000000"/>
                </a:solidFill>
                <a:latin typeface="Times New Roman"/>
                <a:cs typeface="Times New Roman"/>
              </a:endParaRPr>
            </a:p>
            <a:p>
              <a:pPr algn="l" rtl="0">
                <a:defRPr sz="1000"/>
              </a:pPr>
              <a:r>
                <a:rPr lang="ja-JP" altLang="en-US" sz="700" b="0" i="0" u="none" strike="noStrike" baseline="0">
                  <a:solidFill>
                    <a:srgbClr val="000000"/>
                  </a:solidFill>
                  <a:latin typeface="ＭＳ 明朝"/>
                  <a:ea typeface="ＭＳ 明朝"/>
                </a:rPr>
                <a:t>  ブース</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ター</a:t>
              </a:r>
              <a:endParaRPr lang="en-US" altLang="ja-JP" sz="7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ポンプ</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nvGrpSpPr>
            <xdr:cNvPr id="335" name="Group 147"/>
            <xdr:cNvGrpSpPr>
              <a:grpSpLocks/>
            </xdr:cNvGrpSpPr>
          </xdr:nvGrpSpPr>
          <xdr:grpSpPr bwMode="auto">
            <a:xfrm>
              <a:off x="3326" y="13163"/>
              <a:ext cx="313" cy="749"/>
              <a:chOff x="3356" y="13200"/>
              <a:chExt cx="425" cy="712"/>
            </a:xfrm>
          </xdr:grpSpPr>
          <xdr:cxnSp macro="">
            <xdr:nvCxnSpPr>
              <xdr:cNvPr id="349" name="AutoShape 148"/>
              <xdr:cNvCxnSpPr>
                <a:cxnSpLocks noChangeShapeType="1"/>
              </xdr:cNvCxnSpPr>
            </xdr:nvCxnSpPr>
            <xdr:spPr bwMode="auto">
              <a:xfrm>
                <a:off x="3356" y="13904"/>
                <a:ext cx="255" cy="1"/>
              </a:xfrm>
              <a:prstGeom prst="straightConnector1">
                <a:avLst/>
              </a:prstGeom>
              <a:noFill/>
              <a:ln w="38100">
                <a:solidFill>
                  <a:srgbClr val="365F91"/>
                </a:solidFill>
                <a:round/>
                <a:headEnd/>
                <a:tailEnd/>
              </a:ln>
            </xdr:spPr>
          </xdr:cxnSp>
          <xdr:cxnSp macro="">
            <xdr:nvCxnSpPr>
              <xdr:cNvPr id="350" name="AutoShape 149"/>
              <xdr:cNvCxnSpPr>
                <a:cxnSpLocks noChangeShapeType="1"/>
              </xdr:cNvCxnSpPr>
            </xdr:nvCxnSpPr>
            <xdr:spPr bwMode="auto">
              <a:xfrm flipH="1">
                <a:off x="3557" y="13217"/>
                <a:ext cx="224" cy="0"/>
              </a:xfrm>
              <a:prstGeom prst="straightConnector1">
                <a:avLst/>
              </a:prstGeom>
              <a:noFill/>
              <a:ln w="38100">
                <a:solidFill>
                  <a:srgbClr val="365F91"/>
                </a:solidFill>
                <a:round/>
                <a:headEnd/>
                <a:tailEnd/>
              </a:ln>
            </xdr:spPr>
          </xdr:cxnSp>
          <xdr:cxnSp macro="">
            <xdr:nvCxnSpPr>
              <xdr:cNvPr id="351" name="AutoShape 150"/>
              <xdr:cNvCxnSpPr>
                <a:cxnSpLocks noChangeShapeType="1"/>
              </xdr:cNvCxnSpPr>
            </xdr:nvCxnSpPr>
            <xdr:spPr bwMode="auto">
              <a:xfrm flipV="1">
                <a:off x="3578" y="13200"/>
                <a:ext cx="0" cy="712"/>
              </a:xfrm>
              <a:prstGeom prst="straightConnector1">
                <a:avLst/>
              </a:prstGeom>
              <a:noFill/>
              <a:ln w="38100">
                <a:solidFill>
                  <a:srgbClr val="365F91"/>
                </a:solidFill>
                <a:round/>
                <a:headEnd/>
                <a:tailEnd/>
              </a:ln>
            </xdr:spPr>
          </xdr:cxnSp>
        </xdr:grpSp>
        <xdr:grpSp>
          <xdr:nvGrpSpPr>
            <xdr:cNvPr id="336" name="Group 151"/>
            <xdr:cNvGrpSpPr>
              <a:grpSpLocks/>
            </xdr:cNvGrpSpPr>
          </xdr:nvGrpSpPr>
          <xdr:grpSpPr bwMode="auto">
            <a:xfrm>
              <a:off x="6304" y="11062"/>
              <a:ext cx="3415" cy="1931"/>
              <a:chOff x="6304" y="11062"/>
              <a:chExt cx="3415" cy="1931"/>
            </a:xfrm>
          </xdr:grpSpPr>
          <xdr:grpSp>
            <xdr:nvGrpSpPr>
              <xdr:cNvPr id="337" name="Group 152"/>
              <xdr:cNvGrpSpPr>
                <a:grpSpLocks/>
              </xdr:cNvGrpSpPr>
            </xdr:nvGrpSpPr>
            <xdr:grpSpPr bwMode="auto">
              <a:xfrm>
                <a:off x="6912" y="11062"/>
                <a:ext cx="2184" cy="1357"/>
                <a:chOff x="8220" y="3298"/>
                <a:chExt cx="2079" cy="1365"/>
              </a:xfrm>
            </xdr:grpSpPr>
            <xdr:cxnSp macro="">
              <xdr:nvCxnSpPr>
                <xdr:cNvPr id="344" name="AutoShape 153"/>
                <xdr:cNvCxnSpPr>
                  <a:cxnSpLocks noChangeShapeType="1"/>
                </xdr:cNvCxnSpPr>
              </xdr:nvCxnSpPr>
              <xdr:spPr bwMode="auto">
                <a:xfrm flipV="1">
                  <a:off x="9398" y="3298"/>
                  <a:ext cx="0" cy="279"/>
                </a:xfrm>
                <a:prstGeom prst="straightConnector1">
                  <a:avLst/>
                </a:prstGeom>
                <a:noFill/>
                <a:ln w="19050">
                  <a:solidFill>
                    <a:srgbClr val="00B050"/>
                  </a:solidFill>
                  <a:round/>
                  <a:headEnd/>
                  <a:tailEnd/>
                </a:ln>
              </xdr:spPr>
            </xdr:cxnSp>
            <xdr:cxnSp macro="">
              <xdr:nvCxnSpPr>
                <xdr:cNvPr id="345" name="AutoShape 154"/>
                <xdr:cNvCxnSpPr>
                  <a:cxnSpLocks noChangeShapeType="1"/>
                </xdr:cNvCxnSpPr>
              </xdr:nvCxnSpPr>
              <xdr:spPr bwMode="auto">
                <a:xfrm flipV="1">
                  <a:off x="10289" y="3298"/>
                  <a:ext cx="2" cy="280"/>
                </a:xfrm>
                <a:prstGeom prst="straightConnector1">
                  <a:avLst/>
                </a:prstGeom>
                <a:noFill/>
                <a:ln w="19050">
                  <a:solidFill>
                    <a:srgbClr val="00B050"/>
                  </a:solidFill>
                  <a:round/>
                  <a:headEnd/>
                  <a:tailEnd/>
                </a:ln>
              </xdr:spPr>
            </xdr:cxnSp>
            <xdr:cxnSp macro="">
              <xdr:nvCxnSpPr>
                <xdr:cNvPr id="346" name="AutoShape 155"/>
                <xdr:cNvCxnSpPr>
                  <a:cxnSpLocks noChangeShapeType="1"/>
                </xdr:cNvCxnSpPr>
              </xdr:nvCxnSpPr>
              <xdr:spPr bwMode="auto">
                <a:xfrm>
                  <a:off x="8656" y="3312"/>
                  <a:ext cx="1643" cy="2"/>
                </a:xfrm>
                <a:prstGeom prst="straightConnector1">
                  <a:avLst/>
                </a:prstGeom>
                <a:noFill/>
                <a:ln w="38100">
                  <a:solidFill>
                    <a:srgbClr val="00B050"/>
                  </a:solidFill>
                  <a:round/>
                  <a:headEnd/>
                  <a:tailEnd/>
                </a:ln>
              </xdr:spPr>
            </xdr:cxnSp>
            <xdr:cxnSp macro="">
              <xdr:nvCxnSpPr>
                <xdr:cNvPr id="347" name="AutoShape 156"/>
                <xdr:cNvCxnSpPr>
                  <a:cxnSpLocks noChangeShapeType="1"/>
                </xdr:cNvCxnSpPr>
              </xdr:nvCxnSpPr>
              <xdr:spPr bwMode="auto">
                <a:xfrm>
                  <a:off x="8686" y="3320"/>
                  <a:ext cx="1" cy="1343"/>
                </a:xfrm>
                <a:prstGeom prst="straightConnector1">
                  <a:avLst/>
                </a:prstGeom>
                <a:noFill/>
                <a:ln w="38100">
                  <a:solidFill>
                    <a:srgbClr val="00B050"/>
                  </a:solidFill>
                  <a:round/>
                  <a:headEnd/>
                  <a:tailEnd/>
                </a:ln>
              </xdr:spPr>
            </xdr:cxnSp>
            <xdr:cxnSp macro="">
              <xdr:nvCxnSpPr>
                <xdr:cNvPr id="348" name="AutoShape 157"/>
                <xdr:cNvCxnSpPr>
                  <a:cxnSpLocks noChangeShapeType="1"/>
                </xdr:cNvCxnSpPr>
              </xdr:nvCxnSpPr>
              <xdr:spPr bwMode="auto">
                <a:xfrm>
                  <a:off x="8220" y="4640"/>
                  <a:ext cx="471" cy="1"/>
                </a:xfrm>
                <a:prstGeom prst="straightConnector1">
                  <a:avLst/>
                </a:prstGeom>
                <a:noFill/>
                <a:ln w="38100">
                  <a:solidFill>
                    <a:srgbClr val="00B050"/>
                  </a:solidFill>
                  <a:round/>
                  <a:headEnd/>
                  <a:tailEnd/>
                </a:ln>
              </xdr:spPr>
            </xdr:cxnSp>
          </xdr:grpSp>
          <xdr:grpSp>
            <xdr:nvGrpSpPr>
              <xdr:cNvPr id="338" name="Group 158"/>
              <xdr:cNvGrpSpPr>
                <a:grpSpLocks/>
              </xdr:cNvGrpSpPr>
            </xdr:nvGrpSpPr>
            <xdr:grpSpPr bwMode="auto">
              <a:xfrm>
                <a:off x="6304" y="11831"/>
                <a:ext cx="3415" cy="1162"/>
                <a:chOff x="6504" y="12612"/>
                <a:chExt cx="3415" cy="1162"/>
              </a:xfrm>
            </xdr:grpSpPr>
            <xdr:pic>
              <xdr:nvPicPr>
                <xdr:cNvPr id="339" name="図 14" descr="C:\Users\Administrator\Desktop\電動弁.jpg"/>
                <xdr:cNvPicPr>
                  <a:picLocks noChangeAspect="1" noChangeArrowheads="1"/>
                </xdr:cNvPicPr>
              </xdr:nvPicPr>
              <xdr:blipFill>
                <a:blip xmlns:r="http://schemas.openxmlformats.org/officeDocument/2006/relationships" r:embed="rId1" cstate="print"/>
                <a:srcRect/>
                <a:stretch>
                  <a:fillRect/>
                </a:stretch>
              </xdr:blipFill>
              <xdr:spPr bwMode="auto">
                <a:xfrm>
                  <a:off x="6504" y="12774"/>
                  <a:ext cx="765" cy="630"/>
                </a:xfrm>
                <a:prstGeom prst="rect">
                  <a:avLst/>
                </a:prstGeom>
                <a:noFill/>
                <a:ln w="9525">
                  <a:noFill/>
                  <a:miter lim="800000"/>
                  <a:headEnd/>
                  <a:tailEnd/>
                </a:ln>
              </xdr:spPr>
            </xdr:pic>
            <xdr:sp macro="" textlink="">
              <xdr:nvSpPr>
                <xdr:cNvPr id="342" name="Rectangle 162"/>
                <xdr:cNvSpPr>
                  <a:spLocks noChangeArrowheads="1"/>
                </xdr:cNvSpPr>
              </xdr:nvSpPr>
              <xdr:spPr bwMode="auto">
                <a:xfrm>
                  <a:off x="7796" y="12612"/>
                  <a:ext cx="2123" cy="300"/>
                </a:xfrm>
                <a:prstGeom prst="rect">
                  <a:avLst/>
                </a:prstGeom>
                <a:solidFill>
                  <a:srgbClr val="FFFFFF"/>
                </a:solidFill>
                <a:ln w="6350">
                  <a:noFill/>
                  <a:miter lim="800000"/>
                  <a:headEnd/>
                  <a:tailEnd/>
                </a:ln>
              </xdr:spPr>
              <xdr:txBody>
                <a:bodyPr vertOverflow="clip" wrap="square" lIns="0" tIns="0" rIns="0" bIns="0" anchor="t" upright="1"/>
                <a:lstStyle/>
                <a:p>
                  <a:pPr algn="ctr" rtl="0">
                    <a:defRPr sz="1000"/>
                  </a:pPr>
                  <a:r>
                    <a:rPr lang="ja-JP" altLang="en-US" sz="900" b="0" i="0" u="none" strike="noStrike" baseline="0">
                      <a:solidFill>
                        <a:srgbClr val="000000"/>
                      </a:solidFill>
                      <a:latin typeface="+mj-ea"/>
                      <a:ea typeface="+mj-ea"/>
                    </a:rPr>
                    <a:t>ｺﾝｼｰﾙﾄﾞﾍｯﾄﾞ</a:t>
                  </a:r>
                  <a:endParaRPr lang="ja-JP" altLang="en-US" sz="900" b="0" i="0" u="none" strike="noStrike" baseline="0">
                    <a:solidFill>
                      <a:srgbClr val="000000"/>
                    </a:solidFill>
                    <a:latin typeface="+mj-ea"/>
                    <a:ea typeface="+mj-ea"/>
                    <a:cs typeface="Times New Roman"/>
                  </a:endParaRPr>
                </a:p>
                <a:p>
                  <a:pPr algn="ctr" rtl="0">
                    <a:defRPr sz="1000"/>
                  </a:pPr>
                  <a:endParaRPr lang="ja-JP" altLang="en-US" sz="900" b="0" i="0" u="none" strike="noStrike" baseline="0">
                    <a:solidFill>
                      <a:srgbClr val="000000"/>
                    </a:solidFill>
                    <a:latin typeface="Times New Roman"/>
                    <a:cs typeface="Times New Roman"/>
                  </a:endParaRPr>
                </a:p>
              </xdr:txBody>
            </xdr:sp>
            <xdr:sp macro="" textlink="">
              <xdr:nvSpPr>
                <xdr:cNvPr id="343" name="Rectangle 164"/>
                <xdr:cNvSpPr>
                  <a:spLocks noChangeArrowheads="1"/>
                </xdr:cNvSpPr>
              </xdr:nvSpPr>
              <xdr:spPr bwMode="auto">
                <a:xfrm>
                  <a:off x="6509" y="13446"/>
                  <a:ext cx="1513" cy="328"/>
                </a:xfrm>
                <a:prstGeom prst="rect">
                  <a:avLst/>
                </a:prstGeom>
                <a:noFill/>
                <a:ln w="9525">
                  <a:noFill/>
                  <a:miter lim="800000"/>
                  <a:headEnd/>
                  <a:tailEnd/>
                </a:ln>
              </xdr:spPr>
              <xdr:txBody>
                <a:bodyPr vertOverflow="clip" wrap="square" lIns="0" tIns="8890" rIns="0" bIns="8890" anchor="t" upright="1"/>
                <a:lstStyle/>
                <a:p>
                  <a:pPr algn="ctr" rtl="0">
                    <a:defRPr sz="1000"/>
                  </a:pPr>
                  <a:r>
                    <a:rPr lang="ja-JP" altLang="en-US" sz="900" b="0" i="0" u="none" strike="noStrike" baseline="0">
                      <a:solidFill>
                        <a:srgbClr val="000000"/>
                      </a:solidFill>
                      <a:latin typeface="+mj-ea"/>
                      <a:ea typeface="+mj-ea"/>
                    </a:rPr>
                    <a:t>電動弁ﾕﾆｯﾄ</a:t>
                  </a:r>
                  <a:endParaRPr lang="ja-JP" altLang="en-US" sz="900" b="0" i="0" u="none" strike="noStrike" baseline="0">
                    <a:solidFill>
                      <a:srgbClr val="000000"/>
                    </a:solidFill>
                    <a:latin typeface="+mj-ea"/>
                    <a:ea typeface="+mj-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grpSp>
      </xdr:grpSp>
      <xdr:grpSp>
        <xdr:nvGrpSpPr>
          <xdr:cNvPr id="316" name="Group 165"/>
          <xdr:cNvGrpSpPr>
            <a:grpSpLocks/>
          </xdr:cNvGrpSpPr>
        </xdr:nvGrpSpPr>
        <xdr:grpSpPr bwMode="auto">
          <a:xfrm>
            <a:off x="4221" y="11072"/>
            <a:ext cx="6385" cy="2138"/>
            <a:chOff x="4221" y="11072"/>
            <a:chExt cx="6385" cy="2138"/>
          </a:xfrm>
        </xdr:grpSpPr>
        <xdr:grpSp>
          <xdr:nvGrpSpPr>
            <xdr:cNvPr id="317" name="Group 166"/>
            <xdr:cNvGrpSpPr>
              <a:grpSpLocks/>
            </xdr:cNvGrpSpPr>
          </xdr:nvGrpSpPr>
          <xdr:grpSpPr bwMode="auto">
            <a:xfrm>
              <a:off x="7619" y="11072"/>
              <a:ext cx="2987" cy="1315"/>
              <a:chOff x="7619" y="11072"/>
              <a:chExt cx="2987" cy="1315"/>
            </a:xfrm>
          </xdr:grpSpPr>
          <xdr:cxnSp macro="">
            <xdr:nvCxnSpPr>
              <xdr:cNvPr id="326" name="AutoShape 167"/>
              <xdr:cNvCxnSpPr>
                <a:cxnSpLocks noChangeShapeType="1"/>
              </xdr:cNvCxnSpPr>
            </xdr:nvCxnSpPr>
            <xdr:spPr bwMode="auto">
              <a:xfrm>
                <a:off x="7619" y="12387"/>
                <a:ext cx="2392" cy="0"/>
              </a:xfrm>
              <a:prstGeom prst="straightConnector1">
                <a:avLst/>
              </a:prstGeom>
              <a:noFill/>
              <a:ln w="9525">
                <a:solidFill>
                  <a:srgbClr val="000000"/>
                </a:solidFill>
                <a:round/>
                <a:headEnd/>
                <a:tailEnd/>
              </a:ln>
            </xdr:spPr>
          </xdr:cxnSp>
          <xdr:cxnSp macro="">
            <xdr:nvCxnSpPr>
              <xdr:cNvPr id="327" name="AutoShape 168"/>
              <xdr:cNvCxnSpPr>
                <a:cxnSpLocks noChangeShapeType="1"/>
              </xdr:cNvCxnSpPr>
            </xdr:nvCxnSpPr>
            <xdr:spPr bwMode="auto">
              <a:xfrm>
                <a:off x="9171" y="11072"/>
                <a:ext cx="818" cy="0"/>
              </a:xfrm>
              <a:prstGeom prst="straightConnector1">
                <a:avLst/>
              </a:prstGeom>
              <a:noFill/>
              <a:ln w="9525">
                <a:solidFill>
                  <a:srgbClr val="000000"/>
                </a:solidFill>
                <a:round/>
                <a:headEnd/>
                <a:tailEnd/>
              </a:ln>
            </xdr:spPr>
          </xdr:cxnSp>
          <xdr:cxnSp macro="">
            <xdr:nvCxnSpPr>
              <xdr:cNvPr id="328" name="AutoShape 169"/>
              <xdr:cNvCxnSpPr>
                <a:cxnSpLocks noChangeShapeType="1"/>
              </xdr:cNvCxnSpPr>
            </xdr:nvCxnSpPr>
            <xdr:spPr bwMode="auto">
              <a:xfrm>
                <a:off x="9907" y="11110"/>
                <a:ext cx="0" cy="1247"/>
              </a:xfrm>
              <a:prstGeom prst="straightConnector1">
                <a:avLst/>
              </a:prstGeom>
              <a:noFill/>
              <a:ln w="9525">
                <a:solidFill>
                  <a:srgbClr val="000000"/>
                </a:solidFill>
                <a:round/>
                <a:headEnd type="triangle" w="med" len="med"/>
                <a:tailEnd type="triangle" w="med" len="med"/>
              </a:ln>
            </xdr:spPr>
          </xdr:cxnSp>
          <xdr:sp macro="" textlink="">
            <xdr:nvSpPr>
              <xdr:cNvPr id="329" name="Rectangle 170"/>
              <xdr:cNvSpPr>
                <a:spLocks noChangeArrowheads="1"/>
              </xdr:cNvSpPr>
            </xdr:nvSpPr>
            <xdr:spPr bwMode="auto">
              <a:xfrm>
                <a:off x="9559" y="11617"/>
                <a:ext cx="1047" cy="318"/>
              </a:xfrm>
              <a:prstGeom prst="rect">
                <a:avLst/>
              </a:prstGeom>
              <a:solidFill>
                <a:srgbClr val="FFFFFF"/>
              </a:solidFill>
              <a:ln w="9525">
                <a:noFill/>
                <a:miter lim="800000"/>
                <a:headEnd/>
                <a:tailEnd/>
              </a:ln>
            </xdr:spPr>
            <xdr:txBody>
              <a:bodyPr vertOverflow="clip" wrap="square" lIns="0" tIns="8890" rIns="0" bIns="8890" anchor="t" upright="1"/>
              <a:lstStyle/>
              <a:p>
                <a:pPr algn="ctr" rtl="0">
                  <a:defRPr sz="1000"/>
                </a:pPr>
                <a:r>
                  <a:rPr lang="ja-JP" altLang="en-US" sz="900" b="0" i="0" u="none" strike="noStrike" baseline="0">
                    <a:solidFill>
                      <a:srgbClr val="000000"/>
                    </a:solidFill>
                    <a:latin typeface="ＭＳ 明朝"/>
                    <a:ea typeface="ＭＳ 明朝"/>
                  </a:rPr>
                  <a:t>落差①</a:t>
                </a: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grpSp>
          <xdr:nvGrpSpPr>
            <xdr:cNvPr id="318" name="Group 171"/>
            <xdr:cNvGrpSpPr>
              <a:grpSpLocks/>
            </xdr:cNvGrpSpPr>
          </xdr:nvGrpSpPr>
          <xdr:grpSpPr bwMode="auto">
            <a:xfrm>
              <a:off x="4221" y="11072"/>
              <a:ext cx="3105" cy="2138"/>
              <a:chOff x="4221" y="11072"/>
              <a:chExt cx="3105" cy="2138"/>
            </a:xfrm>
          </xdr:grpSpPr>
          <xdr:cxnSp macro="">
            <xdr:nvCxnSpPr>
              <xdr:cNvPr id="319" name="AutoShape 172"/>
              <xdr:cNvCxnSpPr>
                <a:cxnSpLocks noChangeShapeType="1"/>
              </xdr:cNvCxnSpPr>
            </xdr:nvCxnSpPr>
            <xdr:spPr bwMode="auto">
              <a:xfrm flipH="1">
                <a:off x="4869" y="12372"/>
                <a:ext cx="1160" cy="1"/>
              </a:xfrm>
              <a:prstGeom prst="straightConnector1">
                <a:avLst/>
              </a:prstGeom>
              <a:noFill/>
              <a:ln w="9525">
                <a:solidFill>
                  <a:srgbClr val="000000"/>
                </a:solidFill>
                <a:round/>
                <a:headEnd/>
                <a:tailEnd/>
              </a:ln>
            </xdr:spPr>
          </xdr:cxnSp>
          <xdr:cxnSp macro="">
            <xdr:nvCxnSpPr>
              <xdr:cNvPr id="320" name="AutoShape 173"/>
              <xdr:cNvCxnSpPr>
                <a:cxnSpLocks noChangeShapeType="1"/>
              </xdr:cNvCxnSpPr>
            </xdr:nvCxnSpPr>
            <xdr:spPr bwMode="auto">
              <a:xfrm>
                <a:off x="4446" y="13209"/>
                <a:ext cx="729" cy="1"/>
              </a:xfrm>
              <a:prstGeom prst="straightConnector1">
                <a:avLst/>
              </a:prstGeom>
              <a:noFill/>
              <a:ln w="9525">
                <a:solidFill>
                  <a:srgbClr val="000000"/>
                </a:solidFill>
                <a:round/>
                <a:headEnd/>
                <a:tailEnd/>
              </a:ln>
            </xdr:spPr>
          </xdr:cxnSp>
          <xdr:cxnSp macro="">
            <xdr:nvCxnSpPr>
              <xdr:cNvPr id="321" name="AutoShape 174"/>
              <xdr:cNvCxnSpPr>
                <a:cxnSpLocks noChangeShapeType="1"/>
              </xdr:cNvCxnSpPr>
            </xdr:nvCxnSpPr>
            <xdr:spPr bwMode="auto">
              <a:xfrm flipH="1">
                <a:off x="5002" y="12409"/>
                <a:ext cx="6" cy="772"/>
              </a:xfrm>
              <a:prstGeom prst="straightConnector1">
                <a:avLst/>
              </a:prstGeom>
              <a:noFill/>
              <a:ln w="9525">
                <a:solidFill>
                  <a:srgbClr val="000000"/>
                </a:solidFill>
                <a:round/>
                <a:headEnd type="triangle" w="med" len="med"/>
                <a:tailEnd type="triangle" w="med" len="med"/>
              </a:ln>
            </xdr:spPr>
          </xdr:cxnSp>
          <xdr:sp macro="" textlink="">
            <xdr:nvSpPr>
              <xdr:cNvPr id="322" name="Rectangle 175"/>
              <xdr:cNvSpPr>
                <a:spLocks noChangeArrowheads="1"/>
              </xdr:cNvSpPr>
            </xdr:nvSpPr>
            <xdr:spPr bwMode="auto">
              <a:xfrm>
                <a:off x="4702" y="12635"/>
                <a:ext cx="1067" cy="309"/>
              </a:xfrm>
              <a:prstGeom prst="rect">
                <a:avLst/>
              </a:prstGeom>
              <a:solidFill>
                <a:srgbClr val="FFFFFF"/>
              </a:solidFill>
              <a:ln w="9525">
                <a:noFill/>
                <a:miter lim="800000"/>
                <a:headEnd/>
                <a:tailEnd/>
              </a:ln>
            </xdr:spPr>
            <xdr:txBody>
              <a:bodyPr vertOverflow="clip" wrap="square" lIns="0" tIns="8890" rIns="0" bIns="8890" anchor="t" upright="1"/>
              <a:lstStyle/>
              <a:p>
                <a:pPr algn="ctr" rtl="0">
                  <a:defRPr sz="1000"/>
                </a:pPr>
                <a:r>
                  <a:rPr lang="ja-JP" altLang="en-US" sz="900" b="0" i="0" u="none" strike="noStrike" baseline="0">
                    <a:solidFill>
                      <a:srgbClr val="000000"/>
                    </a:solidFill>
                    <a:latin typeface="+mj-ea"/>
                    <a:ea typeface="+mj-ea"/>
                  </a:rPr>
                  <a:t>落差②</a:t>
                </a:r>
                <a:endParaRPr lang="ja-JP" altLang="en-US" sz="900" b="0" i="0" u="none" strike="noStrike" baseline="0">
                  <a:solidFill>
                    <a:srgbClr val="000000"/>
                  </a:solidFill>
                  <a:latin typeface="+mj-ea"/>
                  <a:ea typeface="+mj-ea"/>
                  <a:cs typeface="Times New Roman"/>
                </a:endParaRPr>
              </a:p>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xnSp macro="">
            <xdr:nvCxnSpPr>
              <xdr:cNvPr id="323" name="AutoShape 176"/>
              <xdr:cNvCxnSpPr>
                <a:cxnSpLocks noChangeShapeType="1"/>
              </xdr:cNvCxnSpPr>
            </xdr:nvCxnSpPr>
            <xdr:spPr bwMode="auto">
              <a:xfrm flipH="1">
                <a:off x="4431" y="11072"/>
                <a:ext cx="2895" cy="1"/>
              </a:xfrm>
              <a:prstGeom prst="straightConnector1">
                <a:avLst/>
              </a:prstGeom>
              <a:noFill/>
              <a:ln w="9525">
                <a:solidFill>
                  <a:srgbClr val="000000"/>
                </a:solidFill>
                <a:round/>
                <a:headEnd/>
                <a:tailEnd/>
              </a:ln>
              <a:effectLst/>
            </xdr:spPr>
          </xdr:cxnSp>
          <xdr:cxnSp macro="">
            <xdr:nvCxnSpPr>
              <xdr:cNvPr id="324" name="AutoShape 177"/>
              <xdr:cNvCxnSpPr>
                <a:cxnSpLocks noChangeShapeType="1"/>
              </xdr:cNvCxnSpPr>
            </xdr:nvCxnSpPr>
            <xdr:spPr bwMode="auto">
              <a:xfrm>
                <a:off x="4611" y="11124"/>
                <a:ext cx="1" cy="2056"/>
              </a:xfrm>
              <a:prstGeom prst="straightConnector1">
                <a:avLst/>
              </a:prstGeom>
              <a:noFill/>
              <a:ln w="9525">
                <a:solidFill>
                  <a:srgbClr val="000000"/>
                </a:solidFill>
                <a:round/>
                <a:headEnd type="triangle" w="med" len="med"/>
                <a:tailEnd type="triangle" w="med" len="med"/>
              </a:ln>
              <a:effectLst/>
            </xdr:spPr>
          </xdr:cxnSp>
          <xdr:sp macro="" textlink="">
            <xdr:nvSpPr>
              <xdr:cNvPr id="325" name="Rectangle 178"/>
              <xdr:cNvSpPr>
                <a:spLocks noChangeArrowheads="1"/>
              </xdr:cNvSpPr>
            </xdr:nvSpPr>
            <xdr:spPr bwMode="auto">
              <a:xfrm>
                <a:off x="4221" y="11908"/>
                <a:ext cx="1044" cy="239"/>
              </a:xfrm>
              <a:prstGeom prst="rect">
                <a:avLst/>
              </a:prstGeom>
              <a:solidFill>
                <a:srgbClr val="FFFFFF"/>
              </a:solidFill>
              <a:ln w="9525">
                <a:noFill/>
                <a:miter lim="800000"/>
                <a:headEnd/>
                <a:tailEnd/>
              </a:ln>
            </xdr:spPr>
            <xdr:txBody>
              <a:bodyPr vertOverflow="clip" wrap="square" lIns="0" tIns="8890" rIns="0" bIns="8890" anchor="t" upright="1"/>
              <a:lstStyle/>
              <a:p>
                <a:pPr algn="ctr" rtl="0">
                  <a:defRPr sz="1000"/>
                </a:pPr>
                <a:r>
                  <a:rPr lang="ja-JP" altLang="en-US" sz="900" b="0" i="0" u="none" strike="noStrike" baseline="0">
                    <a:solidFill>
                      <a:srgbClr val="000000"/>
                    </a:solidFill>
                    <a:latin typeface="+mj-ea"/>
                    <a:ea typeface="+mj-ea"/>
                  </a:rPr>
                  <a:t>落差③</a:t>
                </a:r>
                <a:endParaRPr lang="ja-JP" altLang="en-US" sz="900" b="0" i="0" u="none" strike="noStrike" baseline="0">
                  <a:solidFill>
                    <a:srgbClr val="000000"/>
                  </a:solidFill>
                  <a:latin typeface="+mj-ea"/>
                  <a:ea typeface="+mj-ea"/>
                  <a:cs typeface="Times New Roman"/>
                </a:endParaRPr>
              </a:p>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grpSp>
    </xdr:grpSp>
    <xdr:clientData/>
  </xdr:twoCellAnchor>
  <xdr:twoCellAnchor>
    <xdr:from>
      <xdr:col>0</xdr:col>
      <xdr:colOff>444500</xdr:colOff>
      <xdr:row>42</xdr:row>
      <xdr:rowOff>152401</xdr:rowOff>
    </xdr:from>
    <xdr:to>
      <xdr:col>4</xdr:col>
      <xdr:colOff>213927</xdr:colOff>
      <xdr:row>54</xdr:row>
      <xdr:rowOff>165101</xdr:rowOff>
    </xdr:to>
    <xdr:grpSp>
      <xdr:nvGrpSpPr>
        <xdr:cNvPr id="188" name="グループ化 187"/>
        <xdr:cNvGrpSpPr/>
      </xdr:nvGrpSpPr>
      <xdr:grpSpPr>
        <a:xfrm>
          <a:off x="444500" y="7543801"/>
          <a:ext cx="2512627" cy="2079625"/>
          <a:chOff x="444500" y="7358744"/>
          <a:chExt cx="2512627" cy="2102757"/>
        </a:xfrm>
      </xdr:grpSpPr>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444500" y="7358744"/>
            <a:ext cx="2512627" cy="2102757"/>
          </a:xfrm>
          <a:prstGeom prst="rect">
            <a:avLst/>
          </a:prstGeom>
          <a:noFill/>
          <a:ln w="25400">
            <a:solidFill>
              <a:schemeClr val="accent1">
                <a:lumMod val="75000"/>
              </a:schemeClr>
            </a:solidFill>
            <a:miter lim="800000"/>
            <a:headEnd/>
            <a:tailEnd type="none" w="med" len="med"/>
          </a:ln>
          <a:effectLst/>
        </xdr:spPr>
      </xdr:pic>
      <xdr:sp macro="" textlink="">
        <xdr:nvSpPr>
          <xdr:cNvPr id="187" name="正方形/長方形 186"/>
          <xdr:cNvSpPr/>
        </xdr:nvSpPr>
        <xdr:spPr>
          <a:xfrm>
            <a:off x="1436914" y="7668986"/>
            <a:ext cx="511629" cy="22497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17</xdr:col>
      <xdr:colOff>320489</xdr:colOff>
      <xdr:row>42</xdr:row>
      <xdr:rowOff>123825</xdr:rowOff>
    </xdr:from>
    <xdr:to>
      <xdr:col>21</xdr:col>
      <xdr:colOff>291914</xdr:colOff>
      <xdr:row>55</xdr:row>
      <xdr:rowOff>142875</xdr:rowOff>
    </xdr:to>
    <xdr:sp macro="" textlink="">
      <xdr:nvSpPr>
        <xdr:cNvPr id="91" name="強調線吹き出し 3 (枠付き) 90"/>
        <xdr:cNvSpPr/>
      </xdr:nvSpPr>
      <xdr:spPr>
        <a:xfrm>
          <a:off x="11293289" y="7515225"/>
          <a:ext cx="2714625" cy="2257425"/>
        </a:xfrm>
        <a:prstGeom prst="accentBorderCallout3">
          <a:avLst>
            <a:gd name="adj1" fmla="val 56239"/>
            <a:gd name="adj2" fmla="val 356"/>
            <a:gd name="adj3" fmla="val 44714"/>
            <a:gd name="adj4" fmla="val -14392"/>
            <a:gd name="adj5" fmla="val 44930"/>
            <a:gd name="adj6" fmla="val -171016"/>
            <a:gd name="adj7" fmla="val 33446"/>
            <a:gd name="adj8" fmla="val -187803"/>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⑧図を参照して末端ヘッドと</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電動の落差　（落差①、</a:t>
          </a:r>
          <a:endParaRPr lang="en-US" altLang="ja-JP" sz="1400" b="1" i="0" baseline="0">
            <a:solidFill>
              <a:sysClr val="windowText" lastClr="000000"/>
            </a:solidFill>
            <a:latin typeface="+mn-lt"/>
            <a:ea typeface="+mn-ea"/>
            <a:cs typeface="+mn-cs"/>
          </a:endParaRPr>
        </a:p>
        <a:p>
          <a:pPr rtl="0"/>
          <a:r>
            <a:rPr lang="en-US" altLang="ja-JP" sz="1400" b="1" i="0" baseline="0">
              <a:solidFill>
                <a:sysClr val="windowText" lastClr="000000"/>
              </a:solidFill>
              <a:latin typeface="+mn-lt"/>
              <a:ea typeface="+mn-ea"/>
              <a:cs typeface="+mn-cs"/>
            </a:rPr>
            <a:t>      </a:t>
          </a:r>
          <a:r>
            <a:rPr lang="ja-JP" altLang="en-US" sz="1400" b="1" i="0" baseline="0">
              <a:solidFill>
                <a:sysClr val="windowText" lastClr="000000"/>
              </a:solidFill>
              <a:latin typeface="+mn-lt"/>
              <a:ea typeface="+mn-ea"/>
              <a:cs typeface="+mn-cs"/>
            </a:rPr>
            <a:t>落差②）を入力　　します。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（各計算書の実揚程として反映</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されます）</a:t>
          </a:r>
          <a:endParaRPr lang="en-US" altLang="ja-JP" sz="1400" b="1" i="0" baseline="0">
            <a:solidFill>
              <a:sysClr val="windowText" lastClr="000000"/>
            </a:solidFill>
            <a:latin typeface="+mn-lt"/>
            <a:ea typeface="+mn-ea"/>
            <a:cs typeface="+mn-cs"/>
          </a:endParaRPr>
        </a:p>
        <a:p>
          <a:pPr rtl="0"/>
          <a:r>
            <a:rPr lang="en-US" altLang="ja-JP" sz="1400" b="1" i="0" baseline="0">
              <a:solidFill>
                <a:sysClr val="windowText" lastClr="000000"/>
              </a:solidFill>
              <a:latin typeface="+mn-lt"/>
              <a:ea typeface="+mn-ea"/>
              <a:cs typeface="+mn-cs"/>
            </a:rPr>
            <a:t>※</a:t>
          </a:r>
          <a:r>
            <a:rPr lang="ja-JP" altLang="en-US" sz="1400" b="1" i="0" baseline="0">
              <a:solidFill>
                <a:sysClr val="windowText" lastClr="000000"/>
              </a:solidFill>
              <a:latin typeface="+mn-lt"/>
              <a:ea typeface="+mn-ea"/>
              <a:cs typeface="+mn-cs"/>
            </a:rPr>
            <a:t>水道から直接給水する場合の</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配水管の埋め込み深さは、</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１．２ｍを標準とします。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a:t>
          </a:r>
          <a:endParaRPr lang="en-US" altLang="ja-JP" sz="1400" b="1" i="0" baseline="0">
            <a:solidFill>
              <a:sysClr val="windowText" lastClr="000000"/>
            </a:solidFill>
            <a:latin typeface="+mn-lt"/>
            <a:ea typeface="+mn-ea"/>
            <a:cs typeface="+mn-cs"/>
          </a:endParaRPr>
        </a:p>
      </xdr:txBody>
    </xdr:sp>
    <xdr:clientData fPrintsWithSheet="0"/>
  </xdr:twoCellAnchor>
  <xdr:twoCellAnchor>
    <xdr:from>
      <xdr:col>13</xdr:col>
      <xdr:colOff>295271</xdr:colOff>
      <xdr:row>27</xdr:row>
      <xdr:rowOff>9525</xdr:rowOff>
    </xdr:from>
    <xdr:to>
      <xdr:col>13</xdr:col>
      <xdr:colOff>685796</xdr:colOff>
      <xdr:row>47</xdr:row>
      <xdr:rowOff>19050</xdr:rowOff>
    </xdr:to>
    <xdr:sp macro="" textlink="">
      <xdr:nvSpPr>
        <xdr:cNvPr id="239" name="左中かっこ 238"/>
        <xdr:cNvSpPr/>
      </xdr:nvSpPr>
      <xdr:spPr>
        <a:xfrm flipH="1">
          <a:off x="8867771" y="4781550"/>
          <a:ext cx="390525" cy="3486150"/>
        </a:xfrm>
        <a:prstGeom prst="leftBrace">
          <a:avLst>
            <a:gd name="adj1" fmla="val 49856"/>
            <a:gd name="adj2" fmla="val 60158"/>
          </a:avLst>
        </a:prstGeom>
        <a:ln w="50800">
          <a:solidFill>
            <a:srgbClr val="7030A0"/>
          </a:solidFill>
        </a:ln>
        <a:effectLst>
          <a:outerShdw blurRad="50800" dist="50800" dir="5400000" sx="1000" sy="1000" algn="ctr" rotWithShape="0">
            <a:srgbClr val="000000">
              <a:alpha val="43137"/>
            </a:srgbClr>
          </a:outerShdw>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fPrintsWithSheet="0"/>
  </xdr:twoCellAnchor>
  <xdr:twoCellAnchor>
    <xdr:from>
      <xdr:col>15</xdr:col>
      <xdr:colOff>685798</xdr:colOff>
      <xdr:row>49</xdr:row>
      <xdr:rowOff>1</xdr:rowOff>
    </xdr:from>
    <xdr:to>
      <xdr:col>16</xdr:col>
      <xdr:colOff>285750</xdr:colOff>
      <xdr:row>60</xdr:row>
      <xdr:rowOff>152400</xdr:rowOff>
    </xdr:to>
    <xdr:sp macro="" textlink="">
      <xdr:nvSpPr>
        <xdr:cNvPr id="189" name="左中かっこ 188"/>
        <xdr:cNvSpPr/>
      </xdr:nvSpPr>
      <xdr:spPr>
        <a:xfrm flipH="1">
          <a:off x="10629898" y="8572501"/>
          <a:ext cx="285752" cy="2085974"/>
        </a:xfrm>
        <a:prstGeom prst="leftBrace">
          <a:avLst>
            <a:gd name="adj1" fmla="val 49856"/>
            <a:gd name="adj2" fmla="val 66981"/>
          </a:avLst>
        </a:prstGeom>
        <a:ln w="50800">
          <a:solidFill>
            <a:srgbClr val="7030A0"/>
          </a:solidFill>
        </a:ln>
        <a:effectLst>
          <a:outerShdw blurRad="50800" dist="50800" dir="5400000" sx="1000" sy="1000" algn="ctr" rotWithShape="0">
            <a:srgbClr val="000000">
              <a:alpha val="43137"/>
            </a:srgbClr>
          </a:outerShdw>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fPrintsWithSheet="0"/>
  </xdr:twoCellAnchor>
  <xdr:twoCellAnchor editAs="absolute">
    <xdr:from>
      <xdr:col>17</xdr:col>
      <xdr:colOff>266140</xdr:colOff>
      <xdr:row>56</xdr:row>
      <xdr:rowOff>159683</xdr:rowOff>
    </xdr:from>
    <xdr:to>
      <xdr:col>21</xdr:col>
      <xdr:colOff>418539</xdr:colOff>
      <xdr:row>60</xdr:row>
      <xdr:rowOff>101414</xdr:rowOff>
    </xdr:to>
    <xdr:sp macro="" textlink="">
      <xdr:nvSpPr>
        <xdr:cNvPr id="190" name="角丸四角形吹き出し 189"/>
        <xdr:cNvSpPr/>
      </xdr:nvSpPr>
      <xdr:spPr>
        <a:xfrm>
          <a:off x="11238940" y="9960908"/>
          <a:ext cx="2895599" cy="646581"/>
        </a:xfrm>
        <a:prstGeom prst="wedgeRoundRectCallout">
          <a:avLst>
            <a:gd name="adj1" fmla="val -61633"/>
            <a:gd name="adj2" fmla="val -49919"/>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Ｄ．計算結果の確認</a:t>
          </a:r>
          <a:endParaRPr kumimoji="1" lang="ja-JP" altLang="en-US" sz="1100"/>
        </a:p>
      </xdr:txBody>
    </xdr:sp>
    <xdr:clientData fPrintsWithSheet="0"/>
  </xdr:twoCellAnchor>
  <xdr:twoCellAnchor editAs="absolute">
    <xdr:from>
      <xdr:col>6</xdr:col>
      <xdr:colOff>314325</xdr:colOff>
      <xdr:row>19</xdr:row>
      <xdr:rowOff>38101</xdr:rowOff>
    </xdr:from>
    <xdr:to>
      <xdr:col>8</xdr:col>
      <xdr:colOff>0</xdr:colOff>
      <xdr:row>22</xdr:row>
      <xdr:rowOff>161926</xdr:rowOff>
    </xdr:to>
    <xdr:sp macro="" textlink="">
      <xdr:nvSpPr>
        <xdr:cNvPr id="191" name="角丸四角形吹き出し 190"/>
        <xdr:cNvSpPr/>
      </xdr:nvSpPr>
      <xdr:spPr>
        <a:xfrm>
          <a:off x="4086225" y="3409951"/>
          <a:ext cx="1057275" cy="666750"/>
        </a:xfrm>
        <a:prstGeom prst="wedgeRoundRectCallout">
          <a:avLst>
            <a:gd name="adj1" fmla="val 68936"/>
            <a:gd name="adj2" fmla="val -15851"/>
            <a:gd name="adj3" fmla="val 16667"/>
          </a:avLst>
        </a:prstGeom>
        <a:solidFill>
          <a:srgbClr val="FFCCFF"/>
        </a:solid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rPr>
            <a:t>余裕を１割見込みます。</a:t>
          </a:r>
          <a:endParaRPr lang="ja-JP" altLang="ja-JP">
            <a:solidFill>
              <a:schemeClr val="tx1"/>
            </a:solidFill>
          </a:endParaRPr>
        </a:p>
      </xdr:txBody>
    </xdr:sp>
    <xdr:clientData fPrintsWithSheet="0"/>
  </xdr:twoCellAnchor>
  <xdr:twoCellAnchor editAs="absolute">
    <xdr:from>
      <xdr:col>11</xdr:col>
      <xdr:colOff>228600</xdr:colOff>
      <xdr:row>19</xdr:row>
      <xdr:rowOff>38101</xdr:rowOff>
    </xdr:from>
    <xdr:to>
      <xdr:col>12</xdr:col>
      <xdr:colOff>600075</xdr:colOff>
      <xdr:row>22</xdr:row>
      <xdr:rowOff>161926</xdr:rowOff>
    </xdr:to>
    <xdr:sp macro="" textlink="">
      <xdr:nvSpPr>
        <xdr:cNvPr id="192" name="角丸四角形吹き出し 191"/>
        <xdr:cNvSpPr/>
      </xdr:nvSpPr>
      <xdr:spPr>
        <a:xfrm>
          <a:off x="7429500" y="3409951"/>
          <a:ext cx="1057275" cy="666750"/>
        </a:xfrm>
        <a:prstGeom prst="wedgeRoundRectCallout">
          <a:avLst>
            <a:gd name="adj1" fmla="val 86053"/>
            <a:gd name="adj2" fmla="val 11292"/>
            <a:gd name="adj3" fmla="val 16667"/>
          </a:avLst>
        </a:prstGeom>
        <a:solidFill>
          <a:srgbClr val="FFCCFF"/>
        </a:solid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solidFill>
                <a:schemeClr val="tx1"/>
              </a:solidFill>
            </a:rPr>
            <a:t>容量を２倍にします。</a:t>
          </a:r>
          <a:endParaRPr lang="ja-JP" altLang="ja-JP">
            <a:solidFill>
              <a:schemeClr val="tx1"/>
            </a:solidFill>
          </a:endParaRPr>
        </a:p>
      </xdr:txBody>
    </xdr:sp>
    <xdr:clientData fPrintsWithSheet="0"/>
  </xdr:twoCellAnchor>
  <xdr:twoCellAnchor editAs="absolute">
    <xdr:from>
      <xdr:col>19</xdr:col>
      <xdr:colOff>171116</xdr:colOff>
      <xdr:row>32</xdr:row>
      <xdr:rowOff>19051</xdr:rowOff>
    </xdr:from>
    <xdr:to>
      <xdr:col>22</xdr:col>
      <xdr:colOff>0</xdr:colOff>
      <xdr:row>37</xdr:row>
      <xdr:rowOff>19051</xdr:rowOff>
    </xdr:to>
    <xdr:sp macro="" textlink="">
      <xdr:nvSpPr>
        <xdr:cNvPr id="195" name="角丸四角形吹き出し 194"/>
        <xdr:cNvSpPr/>
      </xdr:nvSpPr>
      <xdr:spPr>
        <a:xfrm>
          <a:off x="12515516" y="5695951"/>
          <a:ext cx="1886284" cy="857250"/>
        </a:xfrm>
        <a:prstGeom prst="wedgeRoundRectCallout">
          <a:avLst>
            <a:gd name="adj1" fmla="val -39204"/>
            <a:gd name="adj2" fmla="val -70944"/>
            <a:gd name="adj3" fmla="val 16667"/>
          </a:avLst>
        </a:prstGeom>
        <a:solidFill>
          <a:srgbClr val="FFCCFF"/>
        </a:solid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配管容量の計算結果に応じて判定されます。配管設計の参考にしてください。</a:t>
          </a:r>
          <a:endParaRPr kumimoji="1" lang="en-US" altLang="ja-JP" sz="1100">
            <a:solidFill>
              <a:schemeClr val="tx1"/>
            </a:solidFill>
          </a:endParaRPr>
        </a:p>
      </xdr:txBody>
    </xdr:sp>
    <xdr:clientData fPrintsWithSheet="0"/>
  </xdr:twoCellAnchor>
  <xdr:twoCellAnchor>
    <xdr:from>
      <xdr:col>10</xdr:col>
      <xdr:colOff>133350</xdr:colOff>
      <xdr:row>38</xdr:row>
      <xdr:rowOff>98182</xdr:rowOff>
    </xdr:from>
    <xdr:to>
      <xdr:col>13</xdr:col>
      <xdr:colOff>371475</xdr:colOff>
      <xdr:row>43</xdr:row>
      <xdr:rowOff>128832</xdr:rowOff>
    </xdr:to>
    <xdr:sp macro="" textlink="">
      <xdr:nvSpPr>
        <xdr:cNvPr id="193" name="Rectangle 48"/>
        <xdr:cNvSpPr>
          <a:spLocks noChangeArrowheads="1"/>
        </xdr:cNvSpPr>
      </xdr:nvSpPr>
      <xdr:spPr bwMode="auto">
        <a:xfrm>
          <a:off x="6648450" y="6803782"/>
          <a:ext cx="2295525" cy="887900"/>
        </a:xfrm>
        <a:prstGeom prst="rect">
          <a:avLst/>
        </a:prstGeom>
        <a:solidFill>
          <a:schemeClr val="bg1"/>
        </a:solidFill>
        <a:ln w="9525">
          <a:noFill/>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落差①：</a:t>
          </a:r>
          <a:r>
            <a:rPr lang="ja-JP" altLang="en-US" sz="800" b="0" i="0" u="none" strike="noStrike" baseline="0">
              <a:solidFill>
                <a:sysClr val="windowText" lastClr="000000"/>
              </a:solidFill>
              <a:latin typeface="+mn-lt"/>
              <a:ea typeface="+mn-ea"/>
              <a:cs typeface="+mn-cs"/>
            </a:rPr>
            <a:t>電動弁及びｺﾝｼｰﾙﾄﾞヘッドを設置</a:t>
          </a:r>
          <a:endParaRPr lang="en-US" altLang="ja-JP" sz="800" b="0" i="0" u="none" strike="noStrike" baseline="0">
            <a:solidFill>
              <a:sysClr val="windowText" lastClr="000000"/>
            </a:solidFill>
            <a:latin typeface="+mn-lt"/>
            <a:ea typeface="+mn-ea"/>
            <a:cs typeface="+mn-cs"/>
          </a:endParaRPr>
        </a:p>
        <a:p>
          <a:pPr algn="l" rtl="0">
            <a:defRPr sz="1000"/>
          </a:pPr>
          <a:r>
            <a:rPr lang="en-US" altLang="ja-JP" sz="800" b="0" i="0" u="none" strike="noStrike" baseline="0">
              <a:solidFill>
                <a:sysClr val="windowText" lastClr="000000"/>
              </a:solidFill>
              <a:latin typeface="+mn-lt"/>
              <a:ea typeface="+mn-ea"/>
              <a:cs typeface="+mn-cs"/>
            </a:rPr>
            <a:t>                    </a:t>
          </a:r>
          <a:r>
            <a:rPr lang="ja-JP" altLang="en-US" sz="800" b="0" i="0" u="none" strike="noStrike" baseline="0">
              <a:solidFill>
                <a:sysClr val="windowText" lastClr="000000"/>
              </a:solidFill>
              <a:latin typeface="+mn-lt"/>
              <a:ea typeface="+mn-ea"/>
              <a:cs typeface="+mn-cs"/>
            </a:rPr>
            <a:t>した階の高さ</a:t>
          </a:r>
          <a:endParaRPr lang="ja-JP" altLang="en-US"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落差②：地面から電動弁の設置階までの</a:t>
          </a:r>
          <a:endParaRPr lang="en-US" altLang="ja-JP" sz="800" b="0" i="0" u="none" strike="noStrike" baseline="0">
            <a:solidFill>
              <a:srgbClr val="000000"/>
            </a:solidFill>
            <a:latin typeface="ＭＳ ゴシック"/>
            <a:ea typeface="ＭＳ ゴシック"/>
          </a:endParaRPr>
        </a:p>
        <a:p>
          <a:pPr algn="l" rtl="0">
            <a:defRPr sz="1000"/>
          </a:pPr>
          <a:r>
            <a:rPr lang="en-US" altLang="ja-JP" sz="800" b="0" i="0" u="none" strike="noStrike" baseline="0">
              <a:solidFill>
                <a:srgbClr val="000000"/>
              </a:solidFill>
              <a:latin typeface="ＭＳ ゴシック"/>
              <a:ea typeface="ＭＳ ゴシック"/>
            </a:rPr>
            <a:t>        </a:t>
          </a:r>
          <a:r>
            <a:rPr lang="ja-JP" altLang="en-US" sz="800" b="0" i="0" u="none" strike="noStrike" baseline="0">
              <a:solidFill>
                <a:srgbClr val="000000"/>
              </a:solidFill>
              <a:latin typeface="ＭＳ ゴシック"/>
              <a:ea typeface="ＭＳ ゴシック"/>
            </a:rPr>
            <a:t>階の高さ　　　　</a:t>
          </a:r>
        </a:p>
      </xdr:txBody>
    </xdr:sp>
    <xdr:clientData/>
  </xdr:twoCellAnchor>
  <xdr:twoCellAnchor editAs="absolute">
    <xdr:from>
      <xdr:col>9</xdr:col>
      <xdr:colOff>123825</xdr:colOff>
      <xdr:row>26</xdr:row>
      <xdr:rowOff>28575</xdr:rowOff>
    </xdr:from>
    <xdr:to>
      <xdr:col>13</xdr:col>
      <xdr:colOff>410243</xdr:colOff>
      <xdr:row>29</xdr:row>
      <xdr:rowOff>114299</xdr:rowOff>
    </xdr:to>
    <xdr:sp macro="" textlink="">
      <xdr:nvSpPr>
        <xdr:cNvPr id="194" name="吹き出し5"/>
        <xdr:cNvSpPr/>
      </xdr:nvSpPr>
      <xdr:spPr>
        <a:xfrm>
          <a:off x="5953125" y="4648200"/>
          <a:ext cx="3029618" cy="600074"/>
        </a:xfrm>
        <a:prstGeom prst="wedgeRoundRectCallout">
          <a:avLst>
            <a:gd name="adj1" fmla="val -31805"/>
            <a:gd name="adj2" fmla="val -199961"/>
            <a:gd name="adj3" fmla="val 16667"/>
          </a:avLst>
        </a:prstGeom>
        <a:solidFill>
          <a:srgbClr val="CCFFCC">
            <a:alpha val="50000"/>
          </a:srgbClr>
        </a:solid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eaLnBrk="1" fontAlgn="auto" latinLnBrk="0" hangingPunct="1"/>
          <a:endParaRPr lang="ja-JP" altLang="ja-JP">
            <a:solidFill>
              <a:schemeClr val="tx1"/>
            </a:solidFill>
          </a:endParaRPr>
        </a:p>
      </xdr:txBody>
    </xdr:sp>
    <xdr:clientData fPrintsWithSheet="0"/>
  </xdr:twoCellAnchor>
  <xdr:twoCellAnchor editAs="absolute">
    <xdr:from>
      <xdr:col>9</xdr:col>
      <xdr:colOff>133349</xdr:colOff>
      <xdr:row>26</xdr:row>
      <xdr:rowOff>38100</xdr:rowOff>
    </xdr:from>
    <xdr:to>
      <xdr:col>13</xdr:col>
      <xdr:colOff>410242</xdr:colOff>
      <xdr:row>29</xdr:row>
      <xdr:rowOff>123824</xdr:rowOff>
    </xdr:to>
    <xdr:sp macro="" textlink="">
      <xdr:nvSpPr>
        <xdr:cNvPr id="197" name="吹き出し6"/>
        <xdr:cNvSpPr/>
      </xdr:nvSpPr>
      <xdr:spPr>
        <a:xfrm>
          <a:off x="5962649" y="4657725"/>
          <a:ext cx="3020093" cy="600074"/>
        </a:xfrm>
        <a:prstGeom prst="wedgeRoundRectCallout">
          <a:avLst>
            <a:gd name="adj1" fmla="val 57482"/>
            <a:gd name="adj2" fmla="val -174564"/>
            <a:gd name="adj3" fmla="val 16667"/>
          </a:avLst>
        </a:prstGeom>
        <a:solidFill>
          <a:srgbClr val="CCFFCC">
            <a:alpha val="50000"/>
          </a:srgbClr>
        </a:solidFill>
        <a:ln>
          <a:solidFill>
            <a:schemeClr val="accent1">
              <a:shade val="50000"/>
              <a:alpha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eaLnBrk="1" fontAlgn="auto" latinLnBrk="0" hangingPunct="1"/>
          <a:r>
            <a:rPr kumimoji="1" lang="ja-JP" altLang="ja-JP" sz="1100">
              <a:solidFill>
                <a:schemeClr val="tx1"/>
              </a:solidFill>
              <a:latin typeface="+mn-lt"/>
              <a:ea typeface="+mn-ea"/>
              <a:cs typeface="+mn-cs"/>
            </a:rPr>
            <a:t>配管容量</a:t>
          </a:r>
          <a:r>
            <a:rPr kumimoji="1" lang="ja-JP" altLang="en-US" sz="1100">
              <a:solidFill>
                <a:schemeClr val="tx1"/>
              </a:solidFill>
              <a:latin typeface="+mn-lt"/>
              <a:ea typeface="+mn-ea"/>
              <a:cs typeface="+mn-cs"/>
            </a:rPr>
            <a:t>（いずれか大きいほう）</a:t>
          </a:r>
          <a:r>
            <a:rPr kumimoji="1" lang="ja-JP" altLang="ja-JP" sz="1100">
              <a:solidFill>
                <a:schemeClr val="tx1"/>
              </a:solidFill>
              <a:latin typeface="+mn-lt"/>
              <a:ea typeface="+mn-ea"/>
              <a:cs typeface="+mn-cs"/>
            </a:rPr>
            <a:t>を設計図面（系統図）の該当する電動弁に記載してください。</a:t>
          </a:r>
          <a:endParaRPr lang="ja-JP" altLang="ja-JP">
            <a:solidFill>
              <a:schemeClr val="tx1"/>
            </a:solidFill>
          </a:endParaRPr>
        </a:p>
      </xdr:txBody>
    </xdr:sp>
    <xdr:clientData fPrintsWithSheet="0"/>
  </xdr:twoCellAnchor>
  <xdr:twoCellAnchor>
    <xdr:from>
      <xdr:col>11</xdr:col>
      <xdr:colOff>342901</xdr:colOff>
      <xdr:row>32</xdr:row>
      <xdr:rowOff>38100</xdr:rowOff>
    </xdr:from>
    <xdr:to>
      <xdr:col>11</xdr:col>
      <xdr:colOff>576944</xdr:colOff>
      <xdr:row>33</xdr:row>
      <xdr:rowOff>65313</xdr:rowOff>
    </xdr:to>
    <xdr:grpSp>
      <xdr:nvGrpSpPr>
        <xdr:cNvPr id="90" name="グループ化 89"/>
        <xdr:cNvGrpSpPr/>
      </xdr:nvGrpSpPr>
      <xdr:grpSpPr>
        <a:xfrm>
          <a:off x="7543801" y="5715000"/>
          <a:ext cx="234043" cy="198663"/>
          <a:chOff x="7493948" y="5761141"/>
          <a:chExt cx="234043" cy="200395"/>
        </a:xfrm>
      </xdr:grpSpPr>
      <xdr:sp macro="" textlink="">
        <xdr:nvSpPr>
          <xdr:cNvPr id="92" name="円弧 91"/>
          <xdr:cNvSpPr/>
        </xdr:nvSpPr>
        <xdr:spPr>
          <a:xfrm>
            <a:off x="7493948" y="5761141"/>
            <a:ext cx="234043" cy="200395"/>
          </a:xfrm>
          <a:prstGeom prst="arc">
            <a:avLst>
              <a:gd name="adj1" fmla="val 21223365"/>
              <a:gd name="adj2" fmla="val 11240212"/>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xnSp macro="">
        <xdr:nvCxnSpPr>
          <xdr:cNvPr id="93" name="直線コネクタ 92"/>
          <xdr:cNvCxnSpPr>
            <a:stCxn id="92" idx="2"/>
            <a:endCxn id="92" idx="0"/>
          </xdr:cNvCxnSpPr>
        </xdr:nvCxnSpPr>
        <xdr:spPr>
          <a:xfrm>
            <a:off x="7495249" y="5846439"/>
            <a:ext cx="231788" cy="213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正方形/長方形 93"/>
          <xdr:cNvSpPr/>
        </xdr:nvSpPr>
        <xdr:spPr>
          <a:xfrm>
            <a:off x="7537738" y="5762625"/>
            <a:ext cx="151535" cy="8226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100">
              <a:solidFill>
                <a:schemeClr val="tx1"/>
              </a:solidFill>
              <a:latin typeface="+mn-lt"/>
              <a:ea typeface="+mn-ea"/>
              <a:cs typeface="+mn-cs"/>
            </a:endParaRPr>
          </a:p>
        </xdr:txBody>
      </xdr:sp>
    </xdr:grpSp>
    <xdr:clientData/>
  </xdr:twoCellAnchor>
  <xdr:twoCellAnchor>
    <xdr:from>
      <xdr:col>12</xdr:col>
      <xdr:colOff>171451</xdr:colOff>
      <xdr:row>32</xdr:row>
      <xdr:rowOff>38100</xdr:rowOff>
    </xdr:from>
    <xdr:to>
      <xdr:col>12</xdr:col>
      <xdr:colOff>405494</xdr:colOff>
      <xdr:row>33</xdr:row>
      <xdr:rowOff>65313</xdr:rowOff>
    </xdr:to>
    <xdr:grpSp>
      <xdr:nvGrpSpPr>
        <xdr:cNvPr id="95" name="グループ化 94"/>
        <xdr:cNvGrpSpPr/>
      </xdr:nvGrpSpPr>
      <xdr:grpSpPr>
        <a:xfrm>
          <a:off x="8058151" y="5715000"/>
          <a:ext cx="234043" cy="198663"/>
          <a:chOff x="7493948" y="5761141"/>
          <a:chExt cx="234043" cy="200395"/>
        </a:xfrm>
      </xdr:grpSpPr>
      <xdr:sp macro="" textlink="">
        <xdr:nvSpPr>
          <xdr:cNvPr id="96" name="円弧 95"/>
          <xdr:cNvSpPr/>
        </xdr:nvSpPr>
        <xdr:spPr>
          <a:xfrm>
            <a:off x="7493948" y="5761141"/>
            <a:ext cx="234043" cy="200395"/>
          </a:xfrm>
          <a:prstGeom prst="arc">
            <a:avLst>
              <a:gd name="adj1" fmla="val 21223365"/>
              <a:gd name="adj2" fmla="val 11240212"/>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xnSp macro="">
        <xdr:nvCxnSpPr>
          <xdr:cNvPr id="97" name="直線コネクタ 96"/>
          <xdr:cNvCxnSpPr>
            <a:stCxn id="96" idx="2"/>
            <a:endCxn id="96" idx="0"/>
          </xdr:cNvCxnSpPr>
        </xdr:nvCxnSpPr>
        <xdr:spPr>
          <a:xfrm>
            <a:off x="7495249" y="5846439"/>
            <a:ext cx="231788" cy="213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正方形/長方形 97"/>
          <xdr:cNvSpPr/>
        </xdr:nvSpPr>
        <xdr:spPr>
          <a:xfrm>
            <a:off x="7537738" y="5762625"/>
            <a:ext cx="151535" cy="8226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100">
              <a:solidFill>
                <a:schemeClr val="tx1"/>
              </a:solidFill>
              <a:latin typeface="+mn-lt"/>
              <a:ea typeface="+mn-ea"/>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6</xdr:row>
      <xdr:rowOff>152400</xdr:rowOff>
    </xdr:from>
    <xdr:to>
      <xdr:col>4</xdr:col>
      <xdr:colOff>571500</xdr:colOff>
      <xdr:row>10</xdr:row>
      <xdr:rowOff>114299</xdr:rowOff>
    </xdr:to>
    <xdr:sp macro="" textlink="">
      <xdr:nvSpPr>
        <xdr:cNvPr id="2" name="横巻き 1"/>
        <xdr:cNvSpPr/>
      </xdr:nvSpPr>
      <xdr:spPr>
        <a:xfrm>
          <a:off x="9525" y="1466850"/>
          <a:ext cx="3305175" cy="828674"/>
        </a:xfrm>
        <a:prstGeom prst="horizontalScrol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chemeClr val="bg1"/>
              </a:solidFill>
            </a:rPr>
            <a:t>計算書の入力作業は不要です。</a:t>
          </a:r>
          <a:endParaRPr kumimoji="1" lang="en-US" altLang="ja-JP" sz="1400" b="1">
            <a:solidFill>
              <a:schemeClr val="bg1"/>
            </a:solidFill>
          </a:endParaRPr>
        </a:p>
        <a:p>
          <a:pPr algn="l"/>
          <a:r>
            <a:rPr kumimoji="1" lang="ja-JP" altLang="en-US" sz="1400" b="1">
              <a:solidFill>
                <a:schemeClr val="bg1"/>
              </a:solidFill>
            </a:rPr>
            <a:t>計算結果の確認をしてください。</a:t>
          </a:r>
        </a:p>
      </xdr:txBody>
    </xdr:sp>
    <xdr:clientData/>
  </xdr:twoCellAnchor>
  <xdr:twoCellAnchor>
    <xdr:from>
      <xdr:col>0</xdr:col>
      <xdr:colOff>57151</xdr:colOff>
      <xdr:row>0</xdr:row>
      <xdr:rowOff>66676</xdr:rowOff>
    </xdr:from>
    <xdr:to>
      <xdr:col>4</xdr:col>
      <xdr:colOff>571501</xdr:colOff>
      <xdr:row>6</xdr:row>
      <xdr:rowOff>171450</xdr:rowOff>
    </xdr:to>
    <xdr:sp macro="" textlink="">
      <xdr:nvSpPr>
        <xdr:cNvPr id="3" name="小波 2"/>
        <xdr:cNvSpPr/>
      </xdr:nvSpPr>
      <xdr:spPr>
        <a:xfrm>
          <a:off x="57151" y="66676"/>
          <a:ext cx="3257550" cy="1419224"/>
        </a:xfrm>
        <a:prstGeom prst="doubleWave">
          <a:avLst/>
        </a:prstGeom>
        <a:solidFill>
          <a:srgbClr val="FFCCFF"/>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u="none">
              <a:solidFill>
                <a:schemeClr val="tx1"/>
              </a:solidFill>
              <a:latin typeface="+mj-ea"/>
              <a:ea typeface="+mj-ea"/>
            </a:rPr>
            <a:t>規定の時間以内に配管内を充水できることを確認するための計算書です。</a:t>
          </a:r>
          <a:endParaRPr kumimoji="1" lang="en-US" altLang="ja-JP" sz="1400" b="1" u="none">
            <a:solidFill>
              <a:schemeClr val="tx1"/>
            </a:solidFill>
            <a:latin typeface="+mj-ea"/>
            <a:ea typeface="+mj-ea"/>
          </a:endParaRPr>
        </a:p>
        <a:p>
          <a:pPr algn="l"/>
          <a:r>
            <a:rPr kumimoji="1" lang="ja-JP" altLang="en-US" sz="1400" b="1" u="none">
              <a:solidFill>
                <a:schemeClr val="tx1"/>
              </a:solidFill>
              <a:latin typeface="+mj-ea"/>
              <a:ea typeface="+mj-ea"/>
            </a:rPr>
            <a:t>給水圧力で、電動弁まで流量Ａが流せることを確認します。</a:t>
          </a:r>
        </a:p>
      </xdr:txBody>
    </xdr:sp>
    <xdr:clientData/>
  </xdr:twoCellAnchor>
  <xdr:twoCellAnchor>
    <xdr:from>
      <xdr:col>0</xdr:col>
      <xdr:colOff>438151</xdr:colOff>
      <xdr:row>47</xdr:row>
      <xdr:rowOff>190501</xdr:rowOff>
    </xdr:from>
    <xdr:to>
      <xdr:col>4</xdr:col>
      <xdr:colOff>571500</xdr:colOff>
      <xdr:row>49</xdr:row>
      <xdr:rowOff>171451</xdr:rowOff>
    </xdr:to>
    <xdr:sp macro="" textlink="">
      <xdr:nvSpPr>
        <xdr:cNvPr id="4" name="角丸四角形吹き出し 3"/>
        <xdr:cNvSpPr/>
      </xdr:nvSpPr>
      <xdr:spPr>
        <a:xfrm>
          <a:off x="438151" y="9324976"/>
          <a:ext cx="2876549" cy="476250"/>
        </a:xfrm>
        <a:prstGeom prst="wedgeRoundRectCallout">
          <a:avLst>
            <a:gd name="adj1" fmla="val 49915"/>
            <a:gd name="adj2" fmla="val -21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必要給水圧力の確認</a:t>
          </a:r>
          <a:endParaRPr kumimoji="1" lang="ja-JP" altLang="ja-JP" sz="1400" b="1">
            <a:solidFill>
              <a:schemeClr val="tx1"/>
            </a:solidFill>
            <a:latin typeface="+mn-lt"/>
            <a:ea typeface="+mn-ea"/>
            <a:cs typeface="+mn-cs"/>
          </a:endParaRPr>
        </a:p>
      </xdr:txBody>
    </xdr:sp>
    <xdr:clientData fPrintsWithSheet="0"/>
  </xdr:twoCellAnchor>
  <xdr:twoCellAnchor>
    <xdr:from>
      <xdr:col>0</xdr:col>
      <xdr:colOff>438150</xdr:colOff>
      <xdr:row>50</xdr:row>
      <xdr:rowOff>66675</xdr:rowOff>
    </xdr:from>
    <xdr:to>
      <xdr:col>4</xdr:col>
      <xdr:colOff>447675</xdr:colOff>
      <xdr:row>53</xdr:row>
      <xdr:rowOff>28575</xdr:rowOff>
    </xdr:to>
    <xdr:sp macro="" textlink="">
      <xdr:nvSpPr>
        <xdr:cNvPr id="6" name="角丸四角形吹き出し 5"/>
        <xdr:cNvSpPr/>
      </xdr:nvSpPr>
      <xdr:spPr>
        <a:xfrm>
          <a:off x="438150" y="9944100"/>
          <a:ext cx="2752725" cy="704850"/>
        </a:xfrm>
        <a:prstGeom prst="wedgeRoundRectCallout">
          <a:avLst>
            <a:gd name="adj1" fmla="val 58628"/>
            <a:gd name="adj2" fmla="val 31627"/>
            <a:gd name="adj3" fmla="val 16667"/>
          </a:avLst>
        </a:prstGeom>
        <a:solidFill>
          <a:schemeClr val="accent6">
            <a:lumMod val="60000"/>
            <a:lumOff val="4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eaLnBrk="1" fontAlgn="auto" latinLnBrk="0" hangingPunct="1"/>
          <a:r>
            <a:rPr kumimoji="1" lang="ja-JP" altLang="ja-JP" sz="1400" b="1" i="0" baseline="0">
              <a:solidFill>
                <a:sysClr val="windowText" lastClr="000000"/>
              </a:solidFill>
              <a:latin typeface="+mn-lt"/>
              <a:ea typeface="+mn-ea"/>
              <a:cs typeface="+mn-cs"/>
            </a:rPr>
            <a:t>「必要給水圧力≦給水圧力」となることを確認してください</a:t>
          </a:r>
          <a:endParaRPr kumimoji="1" lang="ja-JP" altLang="ja-JP" sz="1400" b="1">
            <a:solidFill>
              <a:sysClr val="windowText" lastClr="000000"/>
            </a:solidFill>
            <a:latin typeface="+mn-lt"/>
            <a:ea typeface="+mn-ea"/>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428626</xdr:colOff>
      <xdr:row>47</xdr:row>
      <xdr:rowOff>190501</xdr:rowOff>
    </xdr:from>
    <xdr:to>
      <xdr:col>4</xdr:col>
      <xdr:colOff>561975</xdr:colOff>
      <xdr:row>49</xdr:row>
      <xdr:rowOff>171451</xdr:rowOff>
    </xdr:to>
    <xdr:sp macro="" textlink="">
      <xdr:nvSpPr>
        <xdr:cNvPr id="4" name="角丸四角形吹き出し 3"/>
        <xdr:cNvSpPr/>
      </xdr:nvSpPr>
      <xdr:spPr>
        <a:xfrm>
          <a:off x="428626" y="9324976"/>
          <a:ext cx="2876549" cy="476250"/>
        </a:xfrm>
        <a:prstGeom prst="wedgeRoundRectCallout">
          <a:avLst>
            <a:gd name="adj1" fmla="val 49915"/>
            <a:gd name="adj2" fmla="val -21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必要給水圧力の確認</a:t>
          </a:r>
          <a:endParaRPr kumimoji="1" lang="ja-JP" altLang="ja-JP" sz="1400" b="1">
            <a:solidFill>
              <a:schemeClr val="tx1"/>
            </a:solidFill>
            <a:latin typeface="+mn-lt"/>
            <a:ea typeface="+mn-ea"/>
            <a:cs typeface="+mn-cs"/>
          </a:endParaRPr>
        </a:p>
      </xdr:txBody>
    </xdr:sp>
    <xdr:clientData fPrintsWithSheet="0"/>
  </xdr:twoCellAnchor>
  <xdr:twoCellAnchor>
    <xdr:from>
      <xdr:col>0</xdr:col>
      <xdr:colOff>0</xdr:colOff>
      <xdr:row>6</xdr:row>
      <xdr:rowOff>142874</xdr:rowOff>
    </xdr:from>
    <xdr:to>
      <xdr:col>4</xdr:col>
      <xdr:colOff>561975</xdr:colOff>
      <xdr:row>10</xdr:row>
      <xdr:rowOff>104773</xdr:rowOff>
    </xdr:to>
    <xdr:sp macro="" textlink="">
      <xdr:nvSpPr>
        <xdr:cNvPr id="6" name="横巻き 5"/>
        <xdr:cNvSpPr/>
      </xdr:nvSpPr>
      <xdr:spPr>
        <a:xfrm>
          <a:off x="0" y="1457324"/>
          <a:ext cx="3305175" cy="828674"/>
        </a:xfrm>
        <a:prstGeom prst="horizontalScrol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chemeClr val="bg1"/>
              </a:solidFill>
            </a:rPr>
            <a:t>計算書の入力作業は不要です。</a:t>
          </a:r>
          <a:endParaRPr kumimoji="1" lang="en-US" altLang="ja-JP" sz="1400" b="1">
            <a:solidFill>
              <a:schemeClr val="bg1"/>
            </a:solidFill>
          </a:endParaRPr>
        </a:p>
        <a:p>
          <a:pPr algn="l"/>
          <a:r>
            <a:rPr kumimoji="1" lang="ja-JP" altLang="en-US" sz="1400" b="1">
              <a:solidFill>
                <a:schemeClr val="bg1"/>
              </a:solidFill>
            </a:rPr>
            <a:t>計算結果の確認をしてください。</a:t>
          </a:r>
        </a:p>
      </xdr:txBody>
    </xdr:sp>
    <xdr:clientData/>
  </xdr:twoCellAnchor>
  <xdr:twoCellAnchor>
    <xdr:from>
      <xdr:col>0</xdr:col>
      <xdr:colOff>47626</xdr:colOff>
      <xdr:row>0</xdr:row>
      <xdr:rowOff>57150</xdr:rowOff>
    </xdr:from>
    <xdr:to>
      <xdr:col>4</xdr:col>
      <xdr:colOff>561976</xdr:colOff>
      <xdr:row>6</xdr:row>
      <xdr:rowOff>161924</xdr:rowOff>
    </xdr:to>
    <xdr:sp macro="" textlink="">
      <xdr:nvSpPr>
        <xdr:cNvPr id="7" name="小波 6"/>
        <xdr:cNvSpPr/>
      </xdr:nvSpPr>
      <xdr:spPr>
        <a:xfrm>
          <a:off x="47626" y="57150"/>
          <a:ext cx="3257550" cy="1419224"/>
        </a:xfrm>
        <a:prstGeom prst="doubleWave">
          <a:avLst/>
        </a:prstGeom>
        <a:solidFill>
          <a:srgbClr val="FFCCFF"/>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u="none">
              <a:solidFill>
                <a:schemeClr val="tx1"/>
              </a:solidFill>
              <a:latin typeface="+mj-ea"/>
              <a:ea typeface="+mj-ea"/>
            </a:rPr>
            <a:t>規定の時間以内に配管内を充水できることを確認するための計算書です。</a:t>
          </a:r>
          <a:endParaRPr kumimoji="1" lang="en-US" altLang="ja-JP" sz="1400" b="1" u="none">
            <a:solidFill>
              <a:schemeClr val="tx1"/>
            </a:solidFill>
            <a:latin typeface="+mj-ea"/>
            <a:ea typeface="+mj-ea"/>
          </a:endParaRPr>
        </a:p>
        <a:p>
          <a:pPr algn="l"/>
          <a:r>
            <a:rPr kumimoji="1" lang="ja-JP" altLang="en-US" sz="1400" b="1" u="none">
              <a:solidFill>
                <a:schemeClr val="tx1"/>
              </a:solidFill>
              <a:latin typeface="+mj-ea"/>
              <a:ea typeface="+mj-ea"/>
            </a:rPr>
            <a:t>給水圧力で、放水直前の末端ヘッドまで流量Ｂが流せることを確認します。</a:t>
          </a:r>
        </a:p>
      </xdr:txBody>
    </xdr:sp>
    <xdr:clientData/>
  </xdr:twoCellAnchor>
  <xdr:twoCellAnchor>
    <xdr:from>
      <xdr:col>0</xdr:col>
      <xdr:colOff>457200</xdr:colOff>
      <xdr:row>50</xdr:row>
      <xdr:rowOff>95250</xdr:rowOff>
    </xdr:from>
    <xdr:to>
      <xdr:col>4</xdr:col>
      <xdr:colOff>466725</xdr:colOff>
      <xdr:row>53</xdr:row>
      <xdr:rowOff>57150</xdr:rowOff>
    </xdr:to>
    <xdr:sp macro="" textlink="">
      <xdr:nvSpPr>
        <xdr:cNvPr id="8" name="角丸四角形吹き出し 7"/>
        <xdr:cNvSpPr/>
      </xdr:nvSpPr>
      <xdr:spPr>
        <a:xfrm>
          <a:off x="457200" y="9972675"/>
          <a:ext cx="2752725" cy="704850"/>
        </a:xfrm>
        <a:prstGeom prst="wedgeRoundRectCallout">
          <a:avLst>
            <a:gd name="adj1" fmla="val 58628"/>
            <a:gd name="adj2" fmla="val 31627"/>
            <a:gd name="adj3" fmla="val 16667"/>
          </a:avLst>
        </a:prstGeom>
        <a:solidFill>
          <a:schemeClr val="accent6">
            <a:lumMod val="60000"/>
            <a:lumOff val="4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eaLnBrk="1" fontAlgn="auto" latinLnBrk="0" hangingPunct="1"/>
          <a:r>
            <a:rPr kumimoji="1" lang="ja-JP" altLang="ja-JP" sz="1400" b="1" i="0" baseline="0">
              <a:solidFill>
                <a:sysClr val="windowText" lastClr="000000"/>
              </a:solidFill>
              <a:latin typeface="+mn-lt"/>
              <a:ea typeface="+mn-ea"/>
              <a:cs typeface="+mn-cs"/>
            </a:rPr>
            <a:t>「必要給水圧力≦給水圧力」となることを確認してください</a:t>
          </a:r>
          <a:endParaRPr kumimoji="1" lang="ja-JP" altLang="ja-JP" sz="1400" b="1">
            <a:solidFill>
              <a:sysClr val="windowText" lastClr="000000"/>
            </a:solidFill>
            <a:latin typeface="+mn-lt"/>
            <a:ea typeface="+mn-ea"/>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68035</xdr:colOff>
      <xdr:row>102</xdr:row>
      <xdr:rowOff>68035</xdr:rowOff>
    </xdr:from>
    <xdr:to>
      <xdr:col>27</xdr:col>
      <xdr:colOff>231322</xdr:colOff>
      <xdr:row>105</xdr:row>
      <xdr:rowOff>27214</xdr:rowOff>
    </xdr:to>
    <xdr:sp macro="" textlink="">
      <xdr:nvSpPr>
        <xdr:cNvPr id="32" name="正方形/長方形 31"/>
        <xdr:cNvSpPr/>
      </xdr:nvSpPr>
      <xdr:spPr>
        <a:xfrm>
          <a:off x="4503964" y="19553464"/>
          <a:ext cx="13008429" cy="4898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28575</xdr:colOff>
      <xdr:row>3</xdr:row>
      <xdr:rowOff>133350</xdr:rowOff>
    </xdr:from>
    <xdr:to>
      <xdr:col>4</xdr:col>
      <xdr:colOff>590550</xdr:colOff>
      <xdr:row>7</xdr:row>
      <xdr:rowOff>190499</xdr:rowOff>
    </xdr:to>
    <xdr:sp macro="" textlink="">
      <xdr:nvSpPr>
        <xdr:cNvPr id="2" name="横巻き 1"/>
        <xdr:cNvSpPr/>
      </xdr:nvSpPr>
      <xdr:spPr>
        <a:xfrm>
          <a:off x="28575" y="3571875"/>
          <a:ext cx="3305175" cy="828674"/>
        </a:xfrm>
        <a:prstGeom prst="horizontalScrol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bg1"/>
              </a:solidFill>
            </a:rPr>
            <a:t>下記の手順で</a:t>
          </a:r>
          <a:r>
            <a:rPr kumimoji="1" lang="ja-JP" altLang="en-US" sz="1400" b="1" u="sng">
              <a:solidFill>
                <a:srgbClr val="0000FF"/>
              </a:solidFill>
            </a:rPr>
            <a:t>青色のセル</a:t>
          </a:r>
          <a:r>
            <a:rPr kumimoji="1" lang="ja-JP" altLang="en-US" sz="1400" b="1">
              <a:solidFill>
                <a:schemeClr val="bg1"/>
              </a:solidFill>
            </a:rPr>
            <a:t>に記入します</a:t>
          </a:r>
          <a:endParaRPr kumimoji="1" lang="en-US" altLang="ja-JP" sz="1400" b="1">
            <a:solidFill>
              <a:schemeClr val="bg1"/>
            </a:solidFill>
          </a:endParaRPr>
        </a:p>
        <a:p>
          <a:pPr algn="ctr"/>
          <a:r>
            <a:rPr kumimoji="1" lang="ja-JP" altLang="en-US" sz="1400" b="1">
              <a:solidFill>
                <a:schemeClr val="bg1"/>
              </a:solidFill>
            </a:rPr>
            <a:t>（吹出しや矢印は印刷されません）</a:t>
          </a:r>
        </a:p>
      </xdr:txBody>
    </xdr:sp>
    <xdr:clientData/>
  </xdr:twoCellAnchor>
  <xdr:twoCellAnchor>
    <xdr:from>
      <xdr:col>0</xdr:col>
      <xdr:colOff>447675</xdr:colOff>
      <xdr:row>7</xdr:row>
      <xdr:rowOff>190500</xdr:rowOff>
    </xdr:from>
    <xdr:to>
      <xdr:col>4</xdr:col>
      <xdr:colOff>581024</xdr:colOff>
      <xdr:row>10</xdr:row>
      <xdr:rowOff>9526</xdr:rowOff>
    </xdr:to>
    <xdr:sp macro="" textlink="">
      <xdr:nvSpPr>
        <xdr:cNvPr id="7" name="角丸四角形吹き出し 6"/>
        <xdr:cNvSpPr/>
      </xdr:nvSpPr>
      <xdr:spPr>
        <a:xfrm>
          <a:off x="447675" y="4400550"/>
          <a:ext cx="2876549" cy="495301"/>
        </a:xfrm>
        <a:prstGeom prst="wedgeRoundRectCallout">
          <a:avLst>
            <a:gd name="adj1" fmla="val 49915"/>
            <a:gd name="adj2" fmla="val -21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Ａ．配管条件を入力</a:t>
          </a:r>
          <a:endParaRPr kumimoji="1" lang="ja-JP" altLang="ja-JP" sz="1400" b="1">
            <a:solidFill>
              <a:schemeClr val="tx1"/>
            </a:solidFill>
            <a:latin typeface="+mn-lt"/>
            <a:ea typeface="+mn-ea"/>
            <a:cs typeface="+mn-cs"/>
          </a:endParaRPr>
        </a:p>
      </xdr:txBody>
    </xdr:sp>
    <xdr:clientData fPrintsWithSheet="0"/>
  </xdr:twoCellAnchor>
  <xdr:twoCellAnchor>
    <xdr:from>
      <xdr:col>0</xdr:col>
      <xdr:colOff>447675</xdr:colOff>
      <xdr:row>10</xdr:row>
      <xdr:rowOff>85725</xdr:rowOff>
    </xdr:from>
    <xdr:to>
      <xdr:col>4</xdr:col>
      <xdr:colOff>419100</xdr:colOff>
      <xdr:row>19</xdr:row>
      <xdr:rowOff>9525</xdr:rowOff>
    </xdr:to>
    <xdr:sp macro="" textlink="">
      <xdr:nvSpPr>
        <xdr:cNvPr id="8" name="強調線吹き出し 3 (枠付き) 7"/>
        <xdr:cNvSpPr/>
      </xdr:nvSpPr>
      <xdr:spPr>
        <a:xfrm>
          <a:off x="447675" y="2266950"/>
          <a:ext cx="2714625" cy="1552575"/>
        </a:xfrm>
        <a:prstGeom prst="accentBorderCallout3">
          <a:avLst>
            <a:gd name="adj1" fmla="val 46428"/>
            <a:gd name="adj2" fmla="val 99899"/>
            <a:gd name="adj3" fmla="val 5768"/>
            <a:gd name="adj4" fmla="val 112754"/>
            <a:gd name="adj5" fmla="val 454"/>
            <a:gd name="adj6" fmla="val 116236"/>
            <a:gd name="adj7" fmla="val -8176"/>
            <a:gd name="adj8" fmla="val 124810"/>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①区間の入力は表示部の上の</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セルで行います</a:t>
          </a:r>
          <a:r>
            <a:rPr lang="ja-JP" altLang="ja-JP" sz="1400" b="1" i="0" baseline="0">
              <a:solidFill>
                <a:sysClr val="windowText" lastClr="000000"/>
              </a:solidFill>
              <a:latin typeface="+mn-lt"/>
              <a:ea typeface="+mn-ea"/>
              <a:cs typeface="+mn-cs"/>
            </a:rPr>
            <a:t>。</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ここに「１」と入力すると、</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「①－②」と表示されます。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以下同様に「２」、「３」、「４」と</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区画数に応じて入力します。</a:t>
          </a:r>
          <a:endParaRPr lang="ja-JP" altLang="ja-JP" sz="1400" b="1">
            <a:solidFill>
              <a:sysClr val="windowText" lastClr="000000"/>
            </a:solidFill>
          </a:endParaRPr>
        </a:p>
      </xdr:txBody>
    </xdr:sp>
    <xdr:clientData fPrintsWithSheet="0"/>
  </xdr:twoCellAnchor>
  <xdr:twoCellAnchor>
    <xdr:from>
      <xdr:col>0</xdr:col>
      <xdr:colOff>428624</xdr:colOff>
      <xdr:row>23</xdr:row>
      <xdr:rowOff>114300</xdr:rowOff>
    </xdr:from>
    <xdr:to>
      <xdr:col>4</xdr:col>
      <xdr:colOff>438149</xdr:colOff>
      <xdr:row>29</xdr:row>
      <xdr:rowOff>0</xdr:rowOff>
    </xdr:to>
    <xdr:sp macro="" textlink="">
      <xdr:nvSpPr>
        <xdr:cNvPr id="11" name="角丸四角形吹き出し 10"/>
        <xdr:cNvSpPr/>
      </xdr:nvSpPr>
      <xdr:spPr>
        <a:xfrm>
          <a:off x="428624" y="7353300"/>
          <a:ext cx="2752725" cy="971550"/>
        </a:xfrm>
        <a:prstGeom prst="wedgeRoundRectCallout">
          <a:avLst>
            <a:gd name="adj1" fmla="val 103611"/>
            <a:gd name="adj2" fmla="val -85812"/>
            <a:gd name="adj3" fmla="val 16667"/>
          </a:avLst>
        </a:prstGeom>
        <a:solidFill>
          <a:srgbClr val="FFFF99"/>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黄色のセル</a:t>
          </a:r>
          <a:r>
            <a:rPr kumimoji="1" lang="ja-JP" altLang="en-US" sz="1100">
              <a:solidFill>
                <a:sysClr val="windowText" lastClr="000000"/>
              </a:solidFill>
              <a:latin typeface="+mn-lt"/>
              <a:ea typeface="+mn-ea"/>
              <a:cs typeface="+mn-cs"/>
            </a:rPr>
            <a:t>は</a:t>
          </a:r>
          <a:r>
            <a:rPr kumimoji="1" lang="ja-JP" altLang="en-US" sz="1100">
              <a:solidFill>
                <a:sysClr val="windowText" lastClr="000000"/>
              </a:solidFill>
            </a:rPr>
            <a:t>配管の種類が自動入力されます。なお、電動弁１次側等で配管の種類が異なる場合は、リストから選択して変更します。</a:t>
          </a:r>
        </a:p>
      </xdr:txBody>
    </xdr:sp>
    <xdr:clientData fPrintsWithSheet="0"/>
  </xdr:twoCellAnchor>
  <xdr:twoCellAnchor>
    <xdr:from>
      <xdr:col>0</xdr:col>
      <xdr:colOff>447675</xdr:colOff>
      <xdr:row>29</xdr:row>
      <xdr:rowOff>104776</xdr:rowOff>
    </xdr:from>
    <xdr:to>
      <xdr:col>4</xdr:col>
      <xdr:colOff>419100</xdr:colOff>
      <xdr:row>33</xdr:row>
      <xdr:rowOff>9526</xdr:rowOff>
    </xdr:to>
    <xdr:sp macro="" textlink="">
      <xdr:nvSpPr>
        <xdr:cNvPr id="12" name="強調線吹き出し 3 (枠付き) 11"/>
        <xdr:cNvSpPr/>
      </xdr:nvSpPr>
      <xdr:spPr>
        <a:xfrm>
          <a:off x="447675" y="5724526"/>
          <a:ext cx="2714625" cy="628650"/>
        </a:xfrm>
        <a:prstGeom prst="accentBorderCallout3">
          <a:avLst>
            <a:gd name="adj1" fmla="val 49458"/>
            <a:gd name="adj2" fmla="val 99899"/>
            <a:gd name="adj3" fmla="val -184016"/>
            <a:gd name="adj4" fmla="val 221527"/>
            <a:gd name="adj5" fmla="val -469829"/>
            <a:gd name="adj6" fmla="val 221499"/>
            <a:gd name="adj7" fmla="val -530337"/>
            <a:gd name="adj8" fmla="val 252529"/>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③区間の配管長（ｍ）を入力</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します。</a:t>
          </a:r>
          <a:endParaRPr lang="ja-JP" altLang="ja-JP" sz="1400" b="1">
            <a:solidFill>
              <a:sysClr val="windowText" lastClr="000000"/>
            </a:solidFill>
          </a:endParaRPr>
        </a:p>
      </xdr:txBody>
    </xdr:sp>
    <xdr:clientData fPrintsWithSheet="0"/>
  </xdr:twoCellAnchor>
  <xdr:twoCellAnchor>
    <xdr:from>
      <xdr:col>0</xdr:col>
      <xdr:colOff>76201</xdr:colOff>
      <xdr:row>0</xdr:row>
      <xdr:rowOff>19050</xdr:rowOff>
    </xdr:from>
    <xdr:to>
      <xdr:col>4</xdr:col>
      <xdr:colOff>590551</xdr:colOff>
      <xdr:row>3</xdr:row>
      <xdr:rowOff>123825</xdr:rowOff>
    </xdr:to>
    <xdr:sp macro="" textlink="">
      <xdr:nvSpPr>
        <xdr:cNvPr id="13" name="小波 12"/>
        <xdr:cNvSpPr/>
      </xdr:nvSpPr>
      <xdr:spPr>
        <a:xfrm>
          <a:off x="76201" y="2724150"/>
          <a:ext cx="3257550" cy="838200"/>
        </a:xfrm>
        <a:prstGeom prst="doubleWave">
          <a:avLst/>
        </a:prstGeom>
        <a:solidFill>
          <a:srgbClr val="FFCCFF"/>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u="none">
              <a:solidFill>
                <a:schemeClr val="tx1"/>
              </a:solidFill>
              <a:latin typeface="+mj-ea"/>
              <a:ea typeface="+mj-ea"/>
            </a:rPr>
            <a:t>末端ヘッドから、</a:t>
          </a:r>
          <a:r>
            <a:rPr kumimoji="1" lang="en-US" altLang="ja-JP" sz="1400" b="1" u="none">
              <a:solidFill>
                <a:schemeClr val="tx1"/>
              </a:solidFill>
              <a:latin typeface="+mj-ea"/>
              <a:ea typeface="+mj-ea"/>
            </a:rPr>
            <a:t>0.1Mpa-30L/min</a:t>
          </a:r>
          <a:r>
            <a:rPr kumimoji="1" lang="ja-JP" altLang="en-US" sz="1400" b="1" u="none">
              <a:solidFill>
                <a:schemeClr val="tx1"/>
              </a:solidFill>
              <a:latin typeface="+mj-ea"/>
              <a:ea typeface="+mj-ea"/>
            </a:rPr>
            <a:t>以上の放水ができることを確認する計算書です。</a:t>
          </a:r>
        </a:p>
      </xdr:txBody>
    </xdr:sp>
    <xdr:clientData/>
  </xdr:twoCellAnchor>
  <xdr:twoCellAnchor>
    <xdr:from>
      <xdr:col>0</xdr:col>
      <xdr:colOff>447675</xdr:colOff>
      <xdr:row>19</xdr:row>
      <xdr:rowOff>104776</xdr:rowOff>
    </xdr:from>
    <xdr:to>
      <xdr:col>4</xdr:col>
      <xdr:colOff>419100</xdr:colOff>
      <xdr:row>23</xdr:row>
      <xdr:rowOff>9526</xdr:rowOff>
    </xdr:to>
    <xdr:sp macro="" textlink="">
      <xdr:nvSpPr>
        <xdr:cNvPr id="14" name="強調線吹き出し 3 (枠付き) 13"/>
        <xdr:cNvSpPr/>
      </xdr:nvSpPr>
      <xdr:spPr>
        <a:xfrm>
          <a:off x="447675" y="3914776"/>
          <a:ext cx="2714625" cy="628650"/>
        </a:xfrm>
        <a:prstGeom prst="accentBorderCallout3">
          <a:avLst>
            <a:gd name="adj1" fmla="val 47943"/>
            <a:gd name="adj2" fmla="val 100250"/>
            <a:gd name="adj3" fmla="val -234016"/>
            <a:gd name="adj4" fmla="val 122578"/>
            <a:gd name="adj5" fmla="val -233465"/>
            <a:gd name="adj6" fmla="val 147465"/>
            <a:gd name="adj7" fmla="val -245489"/>
            <a:gd name="adj8" fmla="val 153232"/>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②配管の呼び径を記入します。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（数字のみ記入）</a:t>
          </a:r>
          <a:endParaRPr lang="ja-JP" altLang="ja-JP" sz="1400" b="1">
            <a:solidFill>
              <a:sysClr val="windowText" lastClr="000000"/>
            </a:solidFill>
          </a:endParaRPr>
        </a:p>
      </xdr:txBody>
    </xdr:sp>
    <xdr:clientData fPrintsWithSheet="0"/>
  </xdr:twoCellAnchor>
  <xdr:twoCellAnchor>
    <xdr:from>
      <xdr:col>0</xdr:col>
      <xdr:colOff>447675</xdr:colOff>
      <xdr:row>33</xdr:row>
      <xdr:rowOff>104775</xdr:rowOff>
    </xdr:from>
    <xdr:to>
      <xdr:col>4</xdr:col>
      <xdr:colOff>581024</xdr:colOff>
      <xdr:row>36</xdr:row>
      <xdr:rowOff>57151</xdr:rowOff>
    </xdr:to>
    <xdr:sp macro="" textlink="">
      <xdr:nvSpPr>
        <xdr:cNvPr id="16" name="角丸四角形吹き出し 15"/>
        <xdr:cNvSpPr/>
      </xdr:nvSpPr>
      <xdr:spPr>
        <a:xfrm>
          <a:off x="447675" y="9153525"/>
          <a:ext cx="2876549" cy="495301"/>
        </a:xfrm>
        <a:prstGeom prst="wedgeRoundRectCallout">
          <a:avLst>
            <a:gd name="adj1" fmla="val 49915"/>
            <a:gd name="adj2" fmla="val -21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Ｂ．継手等の条件を入力</a:t>
          </a:r>
          <a:endParaRPr kumimoji="1" lang="ja-JP" altLang="ja-JP" sz="1400" b="1">
            <a:solidFill>
              <a:schemeClr val="tx1"/>
            </a:solidFill>
            <a:latin typeface="+mn-lt"/>
            <a:ea typeface="+mn-ea"/>
            <a:cs typeface="+mn-cs"/>
          </a:endParaRPr>
        </a:p>
      </xdr:txBody>
    </xdr:sp>
    <xdr:clientData fPrintsWithSheet="0"/>
  </xdr:twoCellAnchor>
  <xdr:twoCellAnchor>
    <xdr:from>
      <xdr:col>0</xdr:col>
      <xdr:colOff>447675</xdr:colOff>
      <xdr:row>36</xdr:row>
      <xdr:rowOff>142876</xdr:rowOff>
    </xdr:from>
    <xdr:to>
      <xdr:col>4</xdr:col>
      <xdr:colOff>419100</xdr:colOff>
      <xdr:row>40</xdr:row>
      <xdr:rowOff>47626</xdr:rowOff>
    </xdr:to>
    <xdr:sp macro="" textlink="">
      <xdr:nvSpPr>
        <xdr:cNvPr id="17" name="強調線吹き出し 3 (枠付き) 16"/>
        <xdr:cNvSpPr/>
      </xdr:nvSpPr>
      <xdr:spPr>
        <a:xfrm>
          <a:off x="447675" y="7029451"/>
          <a:ext cx="2714625" cy="628650"/>
        </a:xfrm>
        <a:prstGeom prst="accentBorderCallout3">
          <a:avLst>
            <a:gd name="adj1" fmla="val 43398"/>
            <a:gd name="adj2" fmla="val 99899"/>
            <a:gd name="adj3" fmla="val -332501"/>
            <a:gd name="adj4" fmla="val 313105"/>
            <a:gd name="adj5" fmla="val -734981"/>
            <a:gd name="adj6" fmla="val 312727"/>
            <a:gd name="adj7" fmla="val -787914"/>
            <a:gd name="adj8" fmla="val 321301"/>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④区間内に接続される継手の</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数量を入力します。</a:t>
          </a:r>
          <a:endParaRPr lang="ja-JP" altLang="ja-JP" sz="1400" b="1">
            <a:solidFill>
              <a:sysClr val="windowText" lastClr="000000"/>
            </a:solidFill>
          </a:endParaRPr>
        </a:p>
      </xdr:txBody>
    </xdr:sp>
    <xdr:clientData fPrintsWithSheet="0"/>
  </xdr:twoCellAnchor>
  <xdr:twoCellAnchor>
    <xdr:from>
      <xdr:col>14</xdr:col>
      <xdr:colOff>400050</xdr:colOff>
      <xdr:row>10</xdr:row>
      <xdr:rowOff>76201</xdr:rowOff>
    </xdr:from>
    <xdr:to>
      <xdr:col>14</xdr:col>
      <xdr:colOff>647700</xdr:colOff>
      <xdr:row>11</xdr:row>
      <xdr:rowOff>41910</xdr:rowOff>
    </xdr:to>
    <xdr:cxnSp macro="">
      <xdr:nvCxnSpPr>
        <xdr:cNvPr id="19" name="直線矢印コネクタ 18"/>
        <xdr:cNvCxnSpPr/>
      </xdr:nvCxnSpPr>
      <xdr:spPr>
        <a:xfrm flipV="1">
          <a:off x="8942070" y="2263141"/>
          <a:ext cx="247650" cy="148589"/>
        </a:xfrm>
        <a:prstGeom prst="straightConnector1">
          <a:avLst/>
        </a:prstGeom>
        <a:ln w="25400">
          <a:solidFill>
            <a:schemeClr val="accent1">
              <a:lumMod val="75000"/>
            </a:schemeClr>
          </a:solidFill>
          <a:tailEnd type="triangle"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14</xdr:col>
      <xdr:colOff>400050</xdr:colOff>
      <xdr:row>11</xdr:row>
      <xdr:rowOff>47625</xdr:rowOff>
    </xdr:from>
    <xdr:to>
      <xdr:col>15</xdr:col>
      <xdr:colOff>19050</xdr:colOff>
      <xdr:row>11</xdr:row>
      <xdr:rowOff>95250</xdr:rowOff>
    </xdr:to>
    <xdr:cxnSp macro="">
      <xdr:nvCxnSpPr>
        <xdr:cNvPr id="20" name="直線矢印コネクタ 19"/>
        <xdr:cNvCxnSpPr/>
      </xdr:nvCxnSpPr>
      <xdr:spPr>
        <a:xfrm>
          <a:off x="8934450" y="5114925"/>
          <a:ext cx="276225" cy="47625"/>
        </a:xfrm>
        <a:prstGeom prst="straightConnector1">
          <a:avLst/>
        </a:prstGeom>
        <a:ln w="25400">
          <a:solidFill>
            <a:schemeClr val="accent1">
              <a:lumMod val="75000"/>
            </a:schemeClr>
          </a:solidFill>
          <a:tailEnd type="triangle"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447675</xdr:colOff>
      <xdr:row>40</xdr:row>
      <xdr:rowOff>161925</xdr:rowOff>
    </xdr:from>
    <xdr:to>
      <xdr:col>4</xdr:col>
      <xdr:colOff>419100</xdr:colOff>
      <xdr:row>53</xdr:row>
      <xdr:rowOff>11905</xdr:rowOff>
    </xdr:to>
    <xdr:sp macro="" textlink="">
      <xdr:nvSpPr>
        <xdr:cNvPr id="23" name="強調線吹き出し 3 (枠付き) 22"/>
        <xdr:cNvSpPr/>
      </xdr:nvSpPr>
      <xdr:spPr>
        <a:xfrm>
          <a:off x="447675" y="7772400"/>
          <a:ext cx="2714625" cy="2231230"/>
        </a:xfrm>
        <a:prstGeom prst="accentBorderCallout3">
          <a:avLst>
            <a:gd name="adj1" fmla="val 45147"/>
            <a:gd name="adj2" fmla="val 100250"/>
            <a:gd name="adj3" fmla="val -110121"/>
            <a:gd name="adj4" fmla="val 422548"/>
            <a:gd name="adj5" fmla="val -234519"/>
            <a:gd name="adj6" fmla="val 423445"/>
            <a:gd name="adj7" fmla="val -255025"/>
            <a:gd name="adj8" fmla="val 446173"/>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⑤区間内に接続される弁類を</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リストから選択し、それぞれ</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の数量を入力します。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電動弁及び逆流防止装置は、</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上段か中段のセルから選択</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してください。</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逆流防止装置は、メーカーに</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よって末尾が異なります。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Ｅ：荏原、Ｋ：川本、Ｔ：テラル</a:t>
          </a:r>
          <a:endParaRPr lang="en-US" altLang="ja-JP" sz="1400" b="1" i="0" baseline="0">
            <a:solidFill>
              <a:sysClr val="windowText" lastClr="000000"/>
            </a:solidFill>
            <a:latin typeface="+mn-lt"/>
            <a:ea typeface="+mn-ea"/>
            <a:cs typeface="+mn-cs"/>
          </a:endParaRPr>
        </a:p>
      </xdr:txBody>
    </xdr:sp>
    <xdr:clientData fPrintsWithSheet="0"/>
  </xdr:twoCellAnchor>
  <xdr:twoCellAnchor>
    <xdr:from>
      <xdr:col>19</xdr:col>
      <xdr:colOff>119743</xdr:colOff>
      <xdr:row>10</xdr:row>
      <xdr:rowOff>104775</xdr:rowOff>
    </xdr:from>
    <xdr:to>
      <xdr:col>20</xdr:col>
      <xdr:colOff>0</xdr:colOff>
      <xdr:row>12</xdr:row>
      <xdr:rowOff>5443</xdr:rowOff>
    </xdr:to>
    <xdr:cxnSp macro="">
      <xdr:nvCxnSpPr>
        <xdr:cNvPr id="24" name="直線矢印コネクタ 23"/>
        <xdr:cNvCxnSpPr/>
      </xdr:nvCxnSpPr>
      <xdr:spPr>
        <a:xfrm flipV="1">
          <a:off x="11952514" y="2298246"/>
          <a:ext cx="691243" cy="259897"/>
        </a:xfrm>
        <a:prstGeom prst="straightConnector1">
          <a:avLst/>
        </a:prstGeom>
        <a:ln w="25400">
          <a:solidFill>
            <a:schemeClr val="accent1">
              <a:lumMod val="75000"/>
            </a:schemeClr>
          </a:solidFill>
          <a:tailEnd type="triangle"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19</xdr:col>
      <xdr:colOff>119743</xdr:colOff>
      <xdr:row>11</xdr:row>
      <xdr:rowOff>85726</xdr:rowOff>
    </xdr:from>
    <xdr:to>
      <xdr:col>19</xdr:col>
      <xdr:colOff>800100</xdr:colOff>
      <xdr:row>12</xdr:row>
      <xdr:rowOff>0</xdr:rowOff>
    </xdr:to>
    <xdr:cxnSp macro="">
      <xdr:nvCxnSpPr>
        <xdr:cNvPr id="26" name="直線矢印コネクタ 25"/>
        <xdr:cNvCxnSpPr/>
      </xdr:nvCxnSpPr>
      <xdr:spPr>
        <a:xfrm flipV="1">
          <a:off x="11952514" y="2458812"/>
          <a:ext cx="680357" cy="93888"/>
        </a:xfrm>
        <a:prstGeom prst="straightConnector1">
          <a:avLst/>
        </a:prstGeom>
        <a:ln w="25400">
          <a:solidFill>
            <a:schemeClr val="accent1">
              <a:lumMod val="75000"/>
            </a:schemeClr>
          </a:solidFill>
          <a:tailEnd type="triangle"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447675</xdr:colOff>
      <xdr:row>53</xdr:row>
      <xdr:rowOff>87314</xdr:rowOff>
    </xdr:from>
    <xdr:to>
      <xdr:col>4</xdr:col>
      <xdr:colOff>581024</xdr:colOff>
      <xdr:row>55</xdr:row>
      <xdr:rowOff>119064</xdr:rowOff>
    </xdr:to>
    <xdr:sp macro="" textlink="">
      <xdr:nvSpPr>
        <xdr:cNvPr id="29" name="角丸四角形吹き出し 28"/>
        <xdr:cNvSpPr/>
      </xdr:nvSpPr>
      <xdr:spPr>
        <a:xfrm>
          <a:off x="447675" y="9993314"/>
          <a:ext cx="2895599" cy="472281"/>
        </a:xfrm>
        <a:prstGeom prst="wedgeRoundRectCallout">
          <a:avLst>
            <a:gd name="adj1" fmla="val 49915"/>
            <a:gd name="adj2" fmla="val -21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Ｃ．給水圧力の確認</a:t>
          </a:r>
          <a:endParaRPr kumimoji="1" lang="ja-JP" altLang="ja-JP" sz="1400" b="1">
            <a:solidFill>
              <a:schemeClr val="tx1"/>
            </a:solidFill>
            <a:latin typeface="+mn-lt"/>
            <a:ea typeface="+mn-ea"/>
            <a:cs typeface="+mn-cs"/>
          </a:endParaRPr>
        </a:p>
      </xdr:txBody>
    </xdr:sp>
    <xdr:clientData fPrintsWithSheet="0"/>
  </xdr:twoCellAnchor>
  <xdr:twoCellAnchor>
    <xdr:from>
      <xdr:col>13</xdr:col>
      <xdr:colOff>379411</xdr:colOff>
      <xdr:row>44</xdr:row>
      <xdr:rowOff>139700</xdr:rowOff>
    </xdr:from>
    <xdr:to>
      <xdr:col>18</xdr:col>
      <xdr:colOff>354012</xdr:colOff>
      <xdr:row>53</xdr:row>
      <xdr:rowOff>114300</xdr:rowOff>
    </xdr:to>
    <xdr:sp macro="" textlink="">
      <xdr:nvSpPr>
        <xdr:cNvPr id="18" name="角丸四角形吹き出し 17"/>
        <xdr:cNvSpPr/>
      </xdr:nvSpPr>
      <xdr:spPr>
        <a:xfrm>
          <a:off x="8126411" y="8432800"/>
          <a:ext cx="3416301" cy="1574800"/>
        </a:xfrm>
        <a:prstGeom prst="wedgeRoundRectCallout">
          <a:avLst>
            <a:gd name="adj1" fmla="val -10933"/>
            <a:gd name="adj2" fmla="val -82696"/>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Ｅ９０</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：曲がり角９０</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のエルボ</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Ｔ直　　：直流方向に接続されたチーズ</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Ｔ分　　：分流方向（９０</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曲がる流れ方向）</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　　　　　に接続されたチーズ</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eaLnBrk="1" fontAlgn="auto" latinLnBrk="0" hangingPunct="1"/>
          <a:r>
            <a:rPr kumimoji="1" lang="en-US" altLang="ja-JP" sz="1100">
              <a:solidFill>
                <a:sysClr val="windowText" lastClr="000000"/>
              </a:solidFill>
              <a:latin typeface="ＭＳ ゴシック" pitchFamily="49" charset="-128"/>
              <a:ea typeface="ＭＳ ゴシック" pitchFamily="49" charset="-128"/>
            </a:rPr>
            <a:t>※</a:t>
          </a:r>
          <a:r>
            <a:rPr kumimoji="1" lang="ja-JP" altLang="ja-JP" sz="1100">
              <a:solidFill>
                <a:sysClr val="windowText" lastClr="000000"/>
              </a:solidFill>
              <a:latin typeface="+mn-lt"/>
              <a:ea typeface="+mn-ea"/>
              <a:cs typeface="+mn-cs"/>
            </a:rPr>
            <a:t>管種および口径によっては</a:t>
          </a:r>
          <a:r>
            <a:rPr kumimoji="1" lang="ja-JP" altLang="en-US" sz="1100">
              <a:solidFill>
                <a:sysClr val="windowText" lastClr="000000"/>
              </a:solidFill>
              <a:latin typeface="+mn-lt"/>
              <a:ea typeface="+mn-ea"/>
              <a:cs typeface="+mn-cs"/>
            </a:rPr>
            <a:t>、Ｔ分の</a:t>
          </a:r>
          <a:r>
            <a:rPr kumimoji="1" lang="ja-JP" altLang="ja-JP" sz="1100">
              <a:solidFill>
                <a:sysClr val="windowText" lastClr="000000"/>
              </a:solidFill>
              <a:latin typeface="+mn-lt"/>
              <a:ea typeface="+mn-ea"/>
              <a:cs typeface="+mn-cs"/>
            </a:rPr>
            <a:t>換算長が</a:t>
          </a:r>
          <a:r>
            <a:rPr kumimoji="1" lang="en-US" altLang="ja-JP"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０</a:t>
          </a:r>
          <a:r>
            <a:rPr kumimoji="1" lang="en-US" altLang="ja-JP" sz="1100">
              <a:solidFill>
                <a:sysClr val="windowText" lastClr="000000"/>
              </a:solidFill>
              <a:latin typeface="+mn-lt"/>
              <a:ea typeface="+mn-ea"/>
              <a:cs typeface="+mn-cs"/>
            </a:rPr>
            <a:t>"</a:t>
          </a:r>
        </a:p>
        <a:p>
          <a:pPr eaLnBrk="1" fontAlgn="auto" latinLnBrk="0" hangingPunct="1"/>
          <a:r>
            <a:rPr kumimoji="1" lang="ja-JP" altLang="en-US" sz="1100">
              <a:solidFill>
                <a:sysClr val="windowText" lastClr="000000"/>
              </a:solidFill>
              <a:latin typeface="+mn-lt"/>
              <a:ea typeface="+mn-ea"/>
              <a:cs typeface="+mn-cs"/>
            </a:rPr>
            <a:t>　　</a:t>
          </a:r>
          <a:r>
            <a:rPr kumimoji="1" lang="ja-JP" altLang="ja-JP" sz="1100">
              <a:solidFill>
                <a:sysClr val="windowText" lastClr="000000"/>
              </a:solidFill>
              <a:latin typeface="+mn-lt"/>
              <a:ea typeface="+mn-ea"/>
              <a:cs typeface="+mn-cs"/>
            </a:rPr>
            <a:t>のため、数値が表示されない場合があります</a:t>
          </a:r>
          <a:r>
            <a:rPr kumimoji="1" lang="ja-JP" altLang="en-US"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　　　　</a:t>
          </a:r>
          <a:endParaRPr kumimoji="1" lang="ja-JP" altLang="en-US" sz="1100">
            <a:solidFill>
              <a:sysClr val="windowText" lastClr="000000"/>
            </a:solidFill>
            <a:latin typeface="ＭＳ ゴシック" pitchFamily="49" charset="-128"/>
            <a:ea typeface="ＭＳ ゴシック" pitchFamily="49" charset="-128"/>
          </a:endParaRPr>
        </a:p>
      </xdr:txBody>
    </xdr:sp>
    <xdr:clientData fPrintsWithSheet="0"/>
  </xdr:twoCellAnchor>
  <xdr:twoCellAnchor>
    <xdr:from>
      <xdr:col>5</xdr:col>
      <xdr:colOff>110217</xdr:colOff>
      <xdr:row>59</xdr:row>
      <xdr:rowOff>78921</xdr:rowOff>
    </xdr:from>
    <xdr:to>
      <xdr:col>11</xdr:col>
      <xdr:colOff>998764</xdr:colOff>
      <xdr:row>62</xdr:row>
      <xdr:rowOff>163285</xdr:rowOff>
    </xdr:to>
    <xdr:sp macro="" textlink="">
      <xdr:nvSpPr>
        <xdr:cNvPr id="25" name="横巻き 24"/>
        <xdr:cNvSpPr/>
      </xdr:nvSpPr>
      <xdr:spPr>
        <a:xfrm>
          <a:off x="3512003" y="11277600"/>
          <a:ext cx="3283404" cy="819149"/>
        </a:xfrm>
        <a:prstGeom prst="horizontalScroll">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3600" b="1">
              <a:solidFill>
                <a:schemeClr val="tx1"/>
              </a:solidFill>
            </a:rPr>
            <a:t>計算例</a:t>
          </a:r>
        </a:p>
      </xdr:txBody>
    </xdr:sp>
    <xdr:clientData/>
  </xdr:twoCellAnchor>
  <xdr:twoCellAnchor>
    <xdr:from>
      <xdr:col>10</xdr:col>
      <xdr:colOff>394608</xdr:colOff>
      <xdr:row>103</xdr:row>
      <xdr:rowOff>40822</xdr:rowOff>
    </xdr:from>
    <xdr:to>
      <xdr:col>11</xdr:col>
      <xdr:colOff>789215</xdr:colOff>
      <xdr:row>104</xdr:row>
      <xdr:rowOff>136073</xdr:rowOff>
    </xdr:to>
    <xdr:sp macro="" textlink="">
      <xdr:nvSpPr>
        <xdr:cNvPr id="27" name="テキスト ボックス 26"/>
        <xdr:cNvSpPr txBox="1"/>
      </xdr:nvSpPr>
      <xdr:spPr>
        <a:xfrm>
          <a:off x="5442858" y="19703143"/>
          <a:ext cx="1143000" cy="27214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平面図例</a:t>
          </a:r>
        </a:p>
      </xdr:txBody>
    </xdr:sp>
    <xdr:clientData/>
  </xdr:twoCellAnchor>
  <xdr:twoCellAnchor>
    <xdr:from>
      <xdr:col>16</xdr:col>
      <xdr:colOff>571500</xdr:colOff>
      <xdr:row>103</xdr:row>
      <xdr:rowOff>40822</xdr:rowOff>
    </xdr:from>
    <xdr:to>
      <xdr:col>18</xdr:col>
      <xdr:colOff>571501</xdr:colOff>
      <xdr:row>104</xdr:row>
      <xdr:rowOff>149679</xdr:rowOff>
    </xdr:to>
    <xdr:sp macro="" textlink="">
      <xdr:nvSpPr>
        <xdr:cNvPr id="28" name="テキスト ボックス 27"/>
        <xdr:cNvSpPr txBox="1"/>
      </xdr:nvSpPr>
      <xdr:spPr>
        <a:xfrm>
          <a:off x="10246179" y="19703143"/>
          <a:ext cx="1469572" cy="28575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アイソメ図例</a:t>
          </a:r>
        </a:p>
      </xdr:txBody>
    </xdr:sp>
    <xdr:clientData/>
  </xdr:twoCellAnchor>
  <xdr:twoCellAnchor>
    <xdr:from>
      <xdr:col>23</xdr:col>
      <xdr:colOff>95250</xdr:colOff>
      <xdr:row>103</xdr:row>
      <xdr:rowOff>27216</xdr:rowOff>
    </xdr:from>
    <xdr:to>
      <xdr:col>25</xdr:col>
      <xdr:colOff>721177</xdr:colOff>
      <xdr:row>104</xdr:row>
      <xdr:rowOff>136073</xdr:rowOff>
    </xdr:to>
    <xdr:sp macro="" textlink="">
      <xdr:nvSpPr>
        <xdr:cNvPr id="31" name="テキスト ボックス 30"/>
        <xdr:cNvSpPr txBox="1"/>
      </xdr:nvSpPr>
      <xdr:spPr>
        <a:xfrm>
          <a:off x="14981464" y="19689537"/>
          <a:ext cx="2095499" cy="28575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計算データの抽出例</a:t>
          </a:r>
        </a:p>
      </xdr:txBody>
    </xdr:sp>
    <xdr:clientData/>
  </xdr:twoCellAnchor>
  <xdr:twoCellAnchor>
    <xdr:from>
      <xdr:col>13</xdr:col>
      <xdr:colOff>122464</xdr:colOff>
      <xdr:row>103</xdr:row>
      <xdr:rowOff>1</xdr:rowOff>
    </xdr:from>
    <xdr:to>
      <xdr:col>15</xdr:col>
      <xdr:colOff>108857</xdr:colOff>
      <xdr:row>105</xdr:row>
      <xdr:rowOff>27215</xdr:rowOff>
    </xdr:to>
    <xdr:sp macro="" textlink="">
      <xdr:nvSpPr>
        <xdr:cNvPr id="35" name="右矢印 34"/>
        <xdr:cNvSpPr/>
      </xdr:nvSpPr>
      <xdr:spPr>
        <a:xfrm>
          <a:off x="7837714" y="19662322"/>
          <a:ext cx="1442357" cy="381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81643</xdr:colOff>
      <xdr:row>103</xdr:row>
      <xdr:rowOff>1</xdr:rowOff>
    </xdr:from>
    <xdr:to>
      <xdr:col>21</xdr:col>
      <xdr:colOff>408214</xdr:colOff>
      <xdr:row>105</xdr:row>
      <xdr:rowOff>27215</xdr:rowOff>
    </xdr:to>
    <xdr:sp macro="" textlink="">
      <xdr:nvSpPr>
        <xdr:cNvPr id="37" name="右矢印 36"/>
        <xdr:cNvSpPr/>
      </xdr:nvSpPr>
      <xdr:spPr>
        <a:xfrm>
          <a:off x="12695464" y="19662322"/>
          <a:ext cx="1442357" cy="381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721179</xdr:colOff>
      <xdr:row>76</xdr:row>
      <xdr:rowOff>108857</xdr:rowOff>
    </xdr:from>
    <xdr:to>
      <xdr:col>24</xdr:col>
      <xdr:colOff>394606</xdr:colOff>
      <xdr:row>84</xdr:row>
      <xdr:rowOff>149679</xdr:rowOff>
    </xdr:to>
    <xdr:sp macro="" textlink="">
      <xdr:nvSpPr>
        <xdr:cNvPr id="43" name="上矢印 42"/>
        <xdr:cNvSpPr/>
      </xdr:nvSpPr>
      <xdr:spPr>
        <a:xfrm>
          <a:off x="15607393" y="14995071"/>
          <a:ext cx="489856" cy="145596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323382</xdr:colOff>
      <xdr:row>108</xdr:row>
      <xdr:rowOff>22412</xdr:rowOff>
    </xdr:from>
    <xdr:to>
      <xdr:col>15</xdr:col>
      <xdr:colOff>431800</xdr:colOff>
      <xdr:row>116</xdr:row>
      <xdr:rowOff>12700</xdr:rowOff>
    </xdr:to>
    <xdr:sp macro="" textlink="">
      <xdr:nvSpPr>
        <xdr:cNvPr id="45" name="角丸四角形吹き出し 44"/>
        <xdr:cNvSpPr/>
      </xdr:nvSpPr>
      <xdr:spPr>
        <a:xfrm>
          <a:off x="6139982" y="20786912"/>
          <a:ext cx="3499318" cy="1412688"/>
        </a:xfrm>
        <a:prstGeom prst="wedgeRoundRectCallout">
          <a:avLst>
            <a:gd name="adj1" fmla="val -51697"/>
            <a:gd name="adj2" fmla="val -90210"/>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給水部から、最も放水圧力が低くなるヘッドまでの配管径路を確認します。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流量および配管条件（呼径、管種）が変わる部分に区画を分けるための番号を指定します。なお、電動弁には上記に係わらず必ず区画分けの番号を指定します。</a:t>
          </a:r>
        </a:p>
      </xdr:txBody>
    </xdr:sp>
    <xdr:clientData/>
  </xdr:twoCellAnchor>
  <xdr:twoCellAnchor>
    <xdr:from>
      <xdr:col>16</xdr:col>
      <xdr:colOff>76200</xdr:colOff>
      <xdr:row>108</xdr:row>
      <xdr:rowOff>22412</xdr:rowOff>
    </xdr:from>
    <xdr:to>
      <xdr:col>20</xdr:col>
      <xdr:colOff>818030</xdr:colOff>
      <xdr:row>116</xdr:row>
      <xdr:rowOff>0</xdr:rowOff>
    </xdr:to>
    <xdr:sp macro="" textlink="">
      <xdr:nvSpPr>
        <xdr:cNvPr id="46" name="角丸四角形吹き出し 45"/>
        <xdr:cNvSpPr/>
      </xdr:nvSpPr>
      <xdr:spPr>
        <a:xfrm>
          <a:off x="9791700" y="20786912"/>
          <a:ext cx="3688230" cy="1399988"/>
        </a:xfrm>
        <a:prstGeom prst="wedgeRoundRectCallout">
          <a:avLst>
            <a:gd name="adj1" fmla="val -10540"/>
            <a:gd name="adj2" fmla="val -88479"/>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配管長、継ぎ手の数量を正確に抽出するため、配管径路図（平面図）をからアイソメ図を作図します。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線分の長さは正確である必要がありません。全体の配管径路が表示されるように</a:t>
          </a:r>
          <a:r>
            <a:rPr kumimoji="1" lang="ja-JP" altLang="ja-JP" sz="1100">
              <a:solidFill>
                <a:sysClr val="windowText" lastClr="000000"/>
              </a:solidFill>
              <a:latin typeface="+mn-lt"/>
              <a:ea typeface="+mn-ea"/>
              <a:cs typeface="+mn-cs"/>
            </a:rPr>
            <a:t>バランス良く</a:t>
          </a:r>
          <a:r>
            <a:rPr kumimoji="1" lang="ja-JP" altLang="en-US" sz="1100">
              <a:solidFill>
                <a:sysClr val="windowText" lastClr="000000"/>
              </a:solidFill>
              <a:latin typeface="+mn-lt"/>
              <a:ea typeface="+mn-ea"/>
              <a:cs typeface="+mn-cs"/>
            </a:rPr>
            <a:t>作図</a:t>
          </a:r>
          <a:r>
            <a:rPr kumimoji="1" lang="ja-JP" altLang="en-US" sz="1100">
              <a:solidFill>
                <a:sysClr val="windowText" lastClr="000000"/>
              </a:solidFill>
              <a:latin typeface="ＭＳ ゴシック" pitchFamily="49" charset="-128"/>
              <a:ea typeface="ＭＳ ゴシック" pitchFamily="49" charset="-128"/>
            </a:rPr>
            <a:t>します。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直流のチーズ（Ｔ直）も忘れずに作図します。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21</xdr:col>
      <xdr:colOff>134470</xdr:colOff>
      <xdr:row>108</xdr:row>
      <xdr:rowOff>22412</xdr:rowOff>
    </xdr:from>
    <xdr:to>
      <xdr:col>27</xdr:col>
      <xdr:colOff>818030</xdr:colOff>
      <xdr:row>116</xdr:row>
      <xdr:rowOff>0</xdr:rowOff>
    </xdr:to>
    <xdr:sp macro="" textlink="">
      <xdr:nvSpPr>
        <xdr:cNvPr id="48" name="角丸四角形吹き出し 47"/>
        <xdr:cNvSpPr/>
      </xdr:nvSpPr>
      <xdr:spPr>
        <a:xfrm>
          <a:off x="13872882" y="20786912"/>
          <a:ext cx="4235824" cy="1411941"/>
        </a:xfrm>
        <a:prstGeom prst="wedgeRoundRectCallout">
          <a:avLst>
            <a:gd name="adj1" fmla="val -10540"/>
            <a:gd name="adj2" fmla="val -88479"/>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アイソメ図より区画毎の配管長さ、継ぎ手の数量を抽出し、一覧表にします。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区画境の継手等は、</a:t>
          </a:r>
          <a:r>
            <a:rPr kumimoji="1" lang="en-US" altLang="ja-JP" sz="1100">
              <a:solidFill>
                <a:sysClr val="windowText" lastClr="000000"/>
              </a:solidFill>
              <a:latin typeface="ＭＳ ゴシック" pitchFamily="49" charset="-128"/>
              <a:ea typeface="ＭＳ ゴシック" pitchFamily="49" charset="-128"/>
            </a:rPr>
            <a:t>2</a:t>
          </a:r>
          <a:r>
            <a:rPr kumimoji="1" lang="ja-JP" altLang="en-US" sz="1100">
              <a:solidFill>
                <a:sysClr val="windowText" lastClr="000000"/>
              </a:solidFill>
              <a:latin typeface="ＭＳ ゴシック" pitchFamily="49" charset="-128"/>
              <a:ea typeface="ＭＳ ゴシック" pitchFamily="49" charset="-128"/>
            </a:rPr>
            <a:t>次側（末端ヘッド側）の区画に含みます。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（アイソメ図例の②にある継手は、区画①－②に含みます。）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11</xdr:col>
      <xdr:colOff>1221441</xdr:colOff>
      <xdr:row>72</xdr:row>
      <xdr:rowOff>78441</xdr:rowOff>
    </xdr:from>
    <xdr:to>
      <xdr:col>13</xdr:col>
      <xdr:colOff>179294</xdr:colOff>
      <xdr:row>84</xdr:row>
      <xdr:rowOff>112059</xdr:rowOff>
    </xdr:to>
    <xdr:sp macro="" textlink="">
      <xdr:nvSpPr>
        <xdr:cNvPr id="49" name="円/楕円 48"/>
        <xdr:cNvSpPr/>
      </xdr:nvSpPr>
      <xdr:spPr>
        <a:xfrm>
          <a:off x="7026088" y="14388353"/>
          <a:ext cx="885265" cy="218514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89648</xdr:colOff>
      <xdr:row>71</xdr:row>
      <xdr:rowOff>201707</xdr:rowOff>
    </xdr:from>
    <xdr:to>
      <xdr:col>16</xdr:col>
      <xdr:colOff>123266</xdr:colOff>
      <xdr:row>84</xdr:row>
      <xdr:rowOff>112060</xdr:rowOff>
    </xdr:to>
    <xdr:sp macro="" textlink="">
      <xdr:nvSpPr>
        <xdr:cNvPr id="50" name="円/楕円 49"/>
        <xdr:cNvSpPr/>
      </xdr:nvSpPr>
      <xdr:spPr>
        <a:xfrm>
          <a:off x="9278472" y="14265089"/>
          <a:ext cx="537882" cy="2308412"/>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705970</xdr:colOff>
      <xdr:row>74</xdr:row>
      <xdr:rowOff>11206</xdr:rowOff>
    </xdr:from>
    <xdr:to>
      <xdr:col>20</xdr:col>
      <xdr:colOff>537883</xdr:colOff>
      <xdr:row>84</xdr:row>
      <xdr:rowOff>100854</xdr:rowOff>
    </xdr:to>
    <xdr:sp macro="" textlink="">
      <xdr:nvSpPr>
        <xdr:cNvPr id="51" name="円/楕円 50"/>
        <xdr:cNvSpPr/>
      </xdr:nvSpPr>
      <xdr:spPr>
        <a:xfrm>
          <a:off x="12528176" y="14679706"/>
          <a:ext cx="638736" cy="188258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11205</xdr:colOff>
      <xdr:row>74</xdr:row>
      <xdr:rowOff>11206</xdr:rowOff>
    </xdr:from>
    <xdr:to>
      <xdr:col>22</xdr:col>
      <xdr:colOff>145677</xdr:colOff>
      <xdr:row>84</xdr:row>
      <xdr:rowOff>100854</xdr:rowOff>
    </xdr:to>
    <xdr:sp macro="" textlink="">
      <xdr:nvSpPr>
        <xdr:cNvPr id="52" name="円/楕円 51"/>
        <xdr:cNvSpPr/>
      </xdr:nvSpPr>
      <xdr:spPr>
        <a:xfrm>
          <a:off x="13749617" y="14679706"/>
          <a:ext cx="638736" cy="1882589"/>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123265</xdr:colOff>
      <xdr:row>72</xdr:row>
      <xdr:rowOff>168088</xdr:rowOff>
    </xdr:from>
    <xdr:to>
      <xdr:col>22</xdr:col>
      <xdr:colOff>168089</xdr:colOff>
      <xdr:row>75</xdr:row>
      <xdr:rowOff>33618</xdr:rowOff>
    </xdr:to>
    <xdr:cxnSp macro="">
      <xdr:nvCxnSpPr>
        <xdr:cNvPr id="54" name="直線矢印コネクタ 53"/>
        <xdr:cNvCxnSpPr/>
      </xdr:nvCxnSpPr>
      <xdr:spPr>
        <a:xfrm flipH="1">
          <a:off x="7855324" y="14478000"/>
          <a:ext cx="6555441" cy="403412"/>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128092</xdr:colOff>
      <xdr:row>72</xdr:row>
      <xdr:rowOff>168088</xdr:rowOff>
    </xdr:from>
    <xdr:to>
      <xdr:col>22</xdr:col>
      <xdr:colOff>156883</xdr:colOff>
      <xdr:row>77</xdr:row>
      <xdr:rowOff>6242</xdr:rowOff>
    </xdr:to>
    <xdr:cxnSp macro="">
      <xdr:nvCxnSpPr>
        <xdr:cNvPr id="55" name="直線矢印コネクタ 54"/>
        <xdr:cNvCxnSpPr/>
      </xdr:nvCxnSpPr>
      <xdr:spPr>
        <a:xfrm flipH="1">
          <a:off x="9821180" y="14478000"/>
          <a:ext cx="4578379" cy="734624"/>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486681</xdr:colOff>
      <xdr:row>73</xdr:row>
      <xdr:rowOff>11206</xdr:rowOff>
    </xdr:from>
    <xdr:to>
      <xdr:col>22</xdr:col>
      <xdr:colOff>145677</xdr:colOff>
      <xdr:row>76</xdr:row>
      <xdr:rowOff>107095</xdr:rowOff>
    </xdr:to>
    <xdr:cxnSp macro="">
      <xdr:nvCxnSpPr>
        <xdr:cNvPr id="57" name="直線矢印コネクタ 56"/>
        <xdr:cNvCxnSpPr/>
      </xdr:nvCxnSpPr>
      <xdr:spPr>
        <a:xfrm flipH="1">
          <a:off x="13115710" y="14500412"/>
          <a:ext cx="1272643" cy="633771"/>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85</xdr:row>
      <xdr:rowOff>0</xdr:rowOff>
    </xdr:from>
    <xdr:to>
      <xdr:col>8</xdr:col>
      <xdr:colOff>88900</xdr:colOff>
      <xdr:row>105</xdr:row>
      <xdr:rowOff>12700</xdr:rowOff>
    </xdr:to>
    <xdr:sp macro="" textlink="">
      <xdr:nvSpPr>
        <xdr:cNvPr id="39" name="縦巻き 38"/>
        <xdr:cNvSpPr/>
      </xdr:nvSpPr>
      <xdr:spPr>
        <a:xfrm>
          <a:off x="3746500" y="16675100"/>
          <a:ext cx="812800" cy="3568700"/>
        </a:xfrm>
        <a:prstGeom prst="verticalScroll">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kumimoji="1" lang="ja-JP" altLang="en-US" sz="2000">
              <a:solidFill>
                <a:schemeClr val="tx1"/>
              </a:solidFill>
            </a:rPr>
            <a:t>計算書作成の手順</a:t>
          </a:r>
        </a:p>
      </xdr:txBody>
    </xdr:sp>
    <xdr:clientData/>
  </xdr:twoCellAnchor>
  <xdr:twoCellAnchor>
    <xdr:from>
      <xdr:col>8</xdr:col>
      <xdr:colOff>68035</xdr:colOff>
      <xdr:row>102</xdr:row>
      <xdr:rowOff>68035</xdr:rowOff>
    </xdr:from>
    <xdr:to>
      <xdr:col>27</xdr:col>
      <xdr:colOff>231322</xdr:colOff>
      <xdr:row>105</xdr:row>
      <xdr:rowOff>27214</xdr:rowOff>
    </xdr:to>
    <xdr:sp macro="" textlink="">
      <xdr:nvSpPr>
        <xdr:cNvPr id="40" name="正方形/長方形 39"/>
        <xdr:cNvSpPr/>
      </xdr:nvSpPr>
      <xdr:spPr>
        <a:xfrm>
          <a:off x="4535260" y="19889560"/>
          <a:ext cx="12993462" cy="50210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394608</xdr:colOff>
      <xdr:row>103</xdr:row>
      <xdr:rowOff>40822</xdr:rowOff>
    </xdr:from>
    <xdr:to>
      <xdr:col>11</xdr:col>
      <xdr:colOff>789215</xdr:colOff>
      <xdr:row>104</xdr:row>
      <xdr:rowOff>136073</xdr:rowOff>
    </xdr:to>
    <xdr:sp macro="" textlink="">
      <xdr:nvSpPr>
        <xdr:cNvPr id="41" name="テキスト ボックス 40"/>
        <xdr:cNvSpPr txBox="1"/>
      </xdr:nvSpPr>
      <xdr:spPr>
        <a:xfrm>
          <a:off x="5461908" y="20043322"/>
          <a:ext cx="1137557" cy="27622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平面図例</a:t>
          </a:r>
        </a:p>
      </xdr:txBody>
    </xdr:sp>
    <xdr:clientData/>
  </xdr:twoCellAnchor>
  <xdr:twoCellAnchor>
    <xdr:from>
      <xdr:col>16</xdr:col>
      <xdr:colOff>571500</xdr:colOff>
      <xdr:row>103</xdr:row>
      <xdr:rowOff>40822</xdr:rowOff>
    </xdr:from>
    <xdr:to>
      <xdr:col>18</xdr:col>
      <xdr:colOff>571501</xdr:colOff>
      <xdr:row>104</xdr:row>
      <xdr:rowOff>149679</xdr:rowOff>
    </xdr:to>
    <xdr:sp macro="" textlink="">
      <xdr:nvSpPr>
        <xdr:cNvPr id="42" name="テキスト ボックス 41"/>
        <xdr:cNvSpPr txBox="1"/>
      </xdr:nvSpPr>
      <xdr:spPr>
        <a:xfrm>
          <a:off x="10267950" y="20043322"/>
          <a:ext cx="1466851" cy="28983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アイソメ図例</a:t>
          </a:r>
        </a:p>
      </xdr:txBody>
    </xdr:sp>
    <xdr:clientData/>
  </xdr:twoCellAnchor>
  <xdr:twoCellAnchor>
    <xdr:from>
      <xdr:col>23</xdr:col>
      <xdr:colOff>95250</xdr:colOff>
      <xdr:row>103</xdr:row>
      <xdr:rowOff>27216</xdr:rowOff>
    </xdr:from>
    <xdr:to>
      <xdr:col>25</xdr:col>
      <xdr:colOff>721177</xdr:colOff>
      <xdr:row>104</xdr:row>
      <xdr:rowOff>136073</xdr:rowOff>
    </xdr:to>
    <xdr:sp macro="" textlink="">
      <xdr:nvSpPr>
        <xdr:cNvPr id="47" name="テキスト ボックス 46"/>
        <xdr:cNvSpPr txBox="1"/>
      </xdr:nvSpPr>
      <xdr:spPr>
        <a:xfrm>
          <a:off x="15001875" y="20029716"/>
          <a:ext cx="2092777" cy="28983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計算データの抽出例</a:t>
          </a:r>
        </a:p>
      </xdr:txBody>
    </xdr:sp>
    <xdr:clientData/>
  </xdr:twoCellAnchor>
  <xdr:twoCellAnchor>
    <xdr:from>
      <xdr:col>13</xdr:col>
      <xdr:colOff>122464</xdr:colOff>
      <xdr:row>103</xdr:row>
      <xdr:rowOff>1</xdr:rowOff>
    </xdr:from>
    <xdr:to>
      <xdr:col>15</xdr:col>
      <xdr:colOff>108857</xdr:colOff>
      <xdr:row>105</xdr:row>
      <xdr:rowOff>27215</xdr:rowOff>
    </xdr:to>
    <xdr:sp macro="" textlink="">
      <xdr:nvSpPr>
        <xdr:cNvPr id="53" name="右矢印 52"/>
        <xdr:cNvSpPr/>
      </xdr:nvSpPr>
      <xdr:spPr>
        <a:xfrm>
          <a:off x="7856764" y="20002501"/>
          <a:ext cx="1443718" cy="38916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81643</xdr:colOff>
      <xdr:row>103</xdr:row>
      <xdr:rowOff>1</xdr:rowOff>
    </xdr:from>
    <xdr:to>
      <xdr:col>21</xdr:col>
      <xdr:colOff>408214</xdr:colOff>
      <xdr:row>105</xdr:row>
      <xdr:rowOff>27215</xdr:rowOff>
    </xdr:to>
    <xdr:sp macro="" textlink="">
      <xdr:nvSpPr>
        <xdr:cNvPr id="56" name="右矢印 55"/>
        <xdr:cNvSpPr/>
      </xdr:nvSpPr>
      <xdr:spPr>
        <a:xfrm>
          <a:off x="12711793" y="20002501"/>
          <a:ext cx="1440996" cy="38916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721179</xdr:colOff>
      <xdr:row>76</xdr:row>
      <xdr:rowOff>108857</xdr:rowOff>
    </xdr:from>
    <xdr:to>
      <xdr:col>24</xdr:col>
      <xdr:colOff>394606</xdr:colOff>
      <xdr:row>84</xdr:row>
      <xdr:rowOff>149679</xdr:rowOff>
    </xdr:to>
    <xdr:sp macro="" textlink="">
      <xdr:nvSpPr>
        <xdr:cNvPr id="58" name="上矢印 57"/>
        <xdr:cNvSpPr/>
      </xdr:nvSpPr>
      <xdr:spPr>
        <a:xfrm>
          <a:off x="15627804" y="15225032"/>
          <a:ext cx="483052" cy="1488622"/>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22</xdr:col>
      <xdr:colOff>153761</xdr:colOff>
      <xdr:row>71</xdr:row>
      <xdr:rowOff>171450</xdr:rowOff>
    </xdr:from>
    <xdr:to>
      <xdr:col>25</xdr:col>
      <xdr:colOff>779689</xdr:colOff>
      <xdr:row>75</xdr:row>
      <xdr:rowOff>57150</xdr:rowOff>
    </xdr:to>
    <xdr:sp macro="" textlink="">
      <xdr:nvSpPr>
        <xdr:cNvPr id="60" name="角丸四角形吹き出し 59"/>
        <xdr:cNvSpPr/>
      </xdr:nvSpPr>
      <xdr:spPr>
        <a:xfrm>
          <a:off x="14403161" y="14316075"/>
          <a:ext cx="2750003" cy="676275"/>
        </a:xfrm>
        <a:prstGeom prst="wedgeRoundRectCallout">
          <a:avLst>
            <a:gd name="adj1" fmla="val -11333"/>
            <a:gd name="adj2" fmla="val -20160"/>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ＭＳ ゴシック" pitchFamily="49" charset="-128"/>
              <a:ea typeface="ＭＳ ゴシック" pitchFamily="49" charset="-128"/>
            </a:rPr>
            <a:t>抽出したデータを、青色のセルに入力し反映させます。</a:t>
          </a:r>
        </a:p>
      </xdr:txBody>
    </xdr:sp>
    <xdr:clientData/>
  </xdr:twoCellAnchor>
  <xdr:twoCellAnchor>
    <xdr:from>
      <xdr:col>11</xdr:col>
      <xdr:colOff>323382</xdr:colOff>
      <xdr:row>108</xdr:row>
      <xdr:rowOff>22412</xdr:rowOff>
    </xdr:from>
    <xdr:to>
      <xdr:col>15</xdr:col>
      <xdr:colOff>431800</xdr:colOff>
      <xdr:row>116</xdr:row>
      <xdr:rowOff>12700</xdr:rowOff>
    </xdr:to>
    <xdr:sp macro="" textlink="">
      <xdr:nvSpPr>
        <xdr:cNvPr id="61" name="角丸四角形吹き出し 60"/>
        <xdr:cNvSpPr/>
      </xdr:nvSpPr>
      <xdr:spPr>
        <a:xfrm>
          <a:off x="6133632" y="20929787"/>
          <a:ext cx="3489793" cy="1438088"/>
        </a:xfrm>
        <a:prstGeom prst="wedgeRoundRectCallout">
          <a:avLst>
            <a:gd name="adj1" fmla="val -51697"/>
            <a:gd name="adj2" fmla="val -90210"/>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給水部から、最も放水圧力が低くなるヘッドまでの配管径路を確認します。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流量および配管条件（呼径、管種）が変わる部分に区間を分けるための番号を指定します。なお、電動弁には上記に係わらず必ず区間分けの番号を指定します。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000">
            <a:solidFill>
              <a:sysClr val="windowText" lastClr="000000"/>
            </a:solidFill>
            <a:latin typeface="ＭＳ ゴシック" pitchFamily="49" charset="-128"/>
            <a:ea typeface="ＭＳ ゴシック" pitchFamily="49" charset="-128"/>
          </a:endParaRPr>
        </a:p>
      </xdr:txBody>
    </xdr:sp>
    <xdr:clientData/>
  </xdr:twoCellAnchor>
  <xdr:twoCellAnchor>
    <xdr:from>
      <xdr:col>16</xdr:col>
      <xdr:colOff>76200</xdr:colOff>
      <xdr:row>108</xdr:row>
      <xdr:rowOff>22412</xdr:rowOff>
    </xdr:from>
    <xdr:to>
      <xdr:col>20</xdr:col>
      <xdr:colOff>818030</xdr:colOff>
      <xdr:row>116</xdr:row>
      <xdr:rowOff>0</xdr:rowOff>
    </xdr:to>
    <xdr:sp macro="" textlink="">
      <xdr:nvSpPr>
        <xdr:cNvPr id="62" name="角丸四角形吹き出し 61"/>
        <xdr:cNvSpPr/>
      </xdr:nvSpPr>
      <xdr:spPr>
        <a:xfrm>
          <a:off x="9772650" y="20929787"/>
          <a:ext cx="3675530" cy="1425388"/>
        </a:xfrm>
        <a:prstGeom prst="wedgeRoundRectCallout">
          <a:avLst>
            <a:gd name="adj1" fmla="val -10540"/>
            <a:gd name="adj2" fmla="val -88479"/>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配管長、継ぎ手の数量を正確に抽出するため、配管径路図（平面図）をからアイソメ図を作図します。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線分の長さは正確である必要がありません。全体の配管径路が表示されるように</a:t>
          </a:r>
          <a:r>
            <a:rPr kumimoji="1" lang="ja-JP" altLang="ja-JP" sz="1000">
              <a:solidFill>
                <a:sysClr val="windowText" lastClr="000000"/>
              </a:solidFill>
              <a:latin typeface="+mn-lt"/>
              <a:ea typeface="+mn-ea"/>
              <a:cs typeface="+mn-cs"/>
            </a:rPr>
            <a:t>バランス良く</a:t>
          </a:r>
          <a:r>
            <a:rPr kumimoji="1" lang="ja-JP" altLang="en-US" sz="1000">
              <a:solidFill>
                <a:sysClr val="windowText" lastClr="000000"/>
              </a:solidFill>
              <a:latin typeface="+mn-lt"/>
              <a:ea typeface="+mn-ea"/>
              <a:cs typeface="+mn-cs"/>
            </a:rPr>
            <a:t>作図</a:t>
          </a:r>
          <a:r>
            <a:rPr kumimoji="1" lang="ja-JP" altLang="en-US" sz="1000">
              <a:solidFill>
                <a:sysClr val="windowText" lastClr="000000"/>
              </a:solidFill>
              <a:latin typeface="ＭＳ ゴシック" pitchFamily="49" charset="-128"/>
              <a:ea typeface="ＭＳ ゴシック" pitchFamily="49" charset="-128"/>
            </a:rPr>
            <a:t>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latin typeface="+mn-lt"/>
              <a:ea typeface="+mn-ea"/>
              <a:cs typeface="+mn-cs"/>
            </a:rPr>
            <a:t>直流のチーズ（Ｔ直）も忘れずに作図します。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21</xdr:col>
      <xdr:colOff>134470</xdr:colOff>
      <xdr:row>108</xdr:row>
      <xdr:rowOff>22412</xdr:rowOff>
    </xdr:from>
    <xdr:to>
      <xdr:col>27</xdr:col>
      <xdr:colOff>818030</xdr:colOff>
      <xdr:row>116</xdr:row>
      <xdr:rowOff>0</xdr:rowOff>
    </xdr:to>
    <xdr:sp macro="" textlink="">
      <xdr:nvSpPr>
        <xdr:cNvPr id="63" name="角丸四角形吹き出し 62"/>
        <xdr:cNvSpPr/>
      </xdr:nvSpPr>
      <xdr:spPr>
        <a:xfrm>
          <a:off x="13879045" y="20929787"/>
          <a:ext cx="4236385" cy="1425388"/>
        </a:xfrm>
        <a:prstGeom prst="wedgeRoundRectCallout">
          <a:avLst>
            <a:gd name="adj1" fmla="val -10540"/>
            <a:gd name="adj2" fmla="val -88479"/>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アイソメ図より区間毎の配管長さ、継ぎ手の数量を抽出し、一覧表にします。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区間境の継手等は、</a:t>
          </a:r>
          <a:r>
            <a:rPr kumimoji="1" lang="en-US" altLang="ja-JP" sz="1000">
              <a:solidFill>
                <a:sysClr val="windowText" lastClr="000000"/>
              </a:solidFill>
              <a:latin typeface="ＭＳ ゴシック" pitchFamily="49" charset="-128"/>
              <a:ea typeface="ＭＳ ゴシック" pitchFamily="49" charset="-128"/>
            </a:rPr>
            <a:t>2</a:t>
          </a:r>
          <a:r>
            <a:rPr kumimoji="1" lang="ja-JP" altLang="en-US" sz="1000">
              <a:solidFill>
                <a:sysClr val="windowText" lastClr="000000"/>
              </a:solidFill>
              <a:latin typeface="ＭＳ ゴシック" pitchFamily="49" charset="-128"/>
              <a:ea typeface="ＭＳ ゴシック" pitchFamily="49" charset="-128"/>
            </a:rPr>
            <a:t>次側（末端ヘッド側）の区間に含みます。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（アイソメ図例の②にある継手は、区間①－②に含みます。）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11</xdr:col>
      <xdr:colOff>1221441</xdr:colOff>
      <xdr:row>72</xdr:row>
      <xdr:rowOff>78441</xdr:rowOff>
    </xdr:from>
    <xdr:to>
      <xdr:col>13</xdr:col>
      <xdr:colOff>179294</xdr:colOff>
      <xdr:row>84</xdr:row>
      <xdr:rowOff>112059</xdr:rowOff>
    </xdr:to>
    <xdr:sp macro="" textlink="">
      <xdr:nvSpPr>
        <xdr:cNvPr id="64" name="円/楕円 63"/>
        <xdr:cNvSpPr/>
      </xdr:nvSpPr>
      <xdr:spPr>
        <a:xfrm>
          <a:off x="7031691" y="14470716"/>
          <a:ext cx="881903" cy="220531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89648</xdr:colOff>
      <xdr:row>71</xdr:row>
      <xdr:rowOff>201707</xdr:rowOff>
    </xdr:from>
    <xdr:to>
      <xdr:col>16</xdr:col>
      <xdr:colOff>123266</xdr:colOff>
      <xdr:row>84</xdr:row>
      <xdr:rowOff>112060</xdr:rowOff>
    </xdr:to>
    <xdr:sp macro="" textlink="">
      <xdr:nvSpPr>
        <xdr:cNvPr id="65" name="円/楕円 64"/>
        <xdr:cNvSpPr/>
      </xdr:nvSpPr>
      <xdr:spPr>
        <a:xfrm>
          <a:off x="9281273" y="14346332"/>
          <a:ext cx="538443" cy="232970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705970</xdr:colOff>
      <xdr:row>74</xdr:row>
      <xdr:rowOff>11206</xdr:rowOff>
    </xdr:from>
    <xdr:to>
      <xdr:col>20</xdr:col>
      <xdr:colOff>537883</xdr:colOff>
      <xdr:row>84</xdr:row>
      <xdr:rowOff>100854</xdr:rowOff>
    </xdr:to>
    <xdr:sp macro="" textlink="">
      <xdr:nvSpPr>
        <xdr:cNvPr id="66" name="円/楕円 65"/>
        <xdr:cNvSpPr/>
      </xdr:nvSpPr>
      <xdr:spPr>
        <a:xfrm>
          <a:off x="12526495" y="14765431"/>
          <a:ext cx="641538" cy="189939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11205</xdr:colOff>
      <xdr:row>74</xdr:row>
      <xdr:rowOff>11206</xdr:rowOff>
    </xdr:from>
    <xdr:to>
      <xdr:col>22</xdr:col>
      <xdr:colOff>145677</xdr:colOff>
      <xdr:row>84</xdr:row>
      <xdr:rowOff>100854</xdr:rowOff>
    </xdr:to>
    <xdr:sp macro="" textlink="">
      <xdr:nvSpPr>
        <xdr:cNvPr id="67" name="円/楕円 66"/>
        <xdr:cNvSpPr/>
      </xdr:nvSpPr>
      <xdr:spPr>
        <a:xfrm>
          <a:off x="13755780" y="14765431"/>
          <a:ext cx="639297" cy="189939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123265</xdr:colOff>
      <xdr:row>72</xdr:row>
      <xdr:rowOff>168088</xdr:rowOff>
    </xdr:from>
    <xdr:to>
      <xdr:col>22</xdr:col>
      <xdr:colOff>168089</xdr:colOff>
      <xdr:row>75</xdr:row>
      <xdr:rowOff>33618</xdr:rowOff>
    </xdr:to>
    <xdr:cxnSp macro="">
      <xdr:nvCxnSpPr>
        <xdr:cNvPr id="68" name="直線矢印コネクタ 67"/>
        <xdr:cNvCxnSpPr/>
      </xdr:nvCxnSpPr>
      <xdr:spPr>
        <a:xfrm flipH="1">
          <a:off x="7857565" y="14560363"/>
          <a:ext cx="6559924" cy="408455"/>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128092</xdr:colOff>
      <xdr:row>72</xdr:row>
      <xdr:rowOff>168088</xdr:rowOff>
    </xdr:from>
    <xdr:to>
      <xdr:col>22</xdr:col>
      <xdr:colOff>156883</xdr:colOff>
      <xdr:row>77</xdr:row>
      <xdr:rowOff>6242</xdr:rowOff>
    </xdr:to>
    <xdr:cxnSp macro="">
      <xdr:nvCxnSpPr>
        <xdr:cNvPr id="69" name="直線矢印コネクタ 68"/>
        <xdr:cNvCxnSpPr/>
      </xdr:nvCxnSpPr>
      <xdr:spPr>
        <a:xfrm flipH="1">
          <a:off x="9824542" y="14560363"/>
          <a:ext cx="4581741" cy="743029"/>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486681</xdr:colOff>
      <xdr:row>73</xdr:row>
      <xdr:rowOff>11206</xdr:rowOff>
    </xdr:from>
    <xdr:to>
      <xdr:col>22</xdr:col>
      <xdr:colOff>145677</xdr:colOff>
      <xdr:row>76</xdr:row>
      <xdr:rowOff>107095</xdr:rowOff>
    </xdr:to>
    <xdr:cxnSp macro="">
      <xdr:nvCxnSpPr>
        <xdr:cNvPr id="70" name="直線矢印コネクタ 69"/>
        <xdr:cNvCxnSpPr/>
      </xdr:nvCxnSpPr>
      <xdr:spPr>
        <a:xfrm flipH="1">
          <a:off x="13116831" y="14584456"/>
          <a:ext cx="1278246" cy="638814"/>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xdr:colOff>
      <xdr:row>72</xdr:row>
      <xdr:rowOff>168088</xdr:rowOff>
    </xdr:from>
    <xdr:to>
      <xdr:col>22</xdr:col>
      <xdr:colOff>168089</xdr:colOff>
      <xdr:row>75</xdr:row>
      <xdr:rowOff>1</xdr:rowOff>
    </xdr:to>
    <xdr:cxnSp macro="">
      <xdr:nvCxnSpPr>
        <xdr:cNvPr id="71" name="直線矢印コネクタ 70"/>
        <xdr:cNvCxnSpPr/>
      </xdr:nvCxnSpPr>
      <xdr:spPr>
        <a:xfrm flipH="1">
          <a:off x="14249403" y="14560363"/>
          <a:ext cx="168086" cy="374838"/>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85</xdr:row>
      <xdr:rowOff>0</xdr:rowOff>
    </xdr:from>
    <xdr:to>
      <xdr:col>8</xdr:col>
      <xdr:colOff>88900</xdr:colOff>
      <xdr:row>105</xdr:row>
      <xdr:rowOff>12700</xdr:rowOff>
    </xdr:to>
    <xdr:sp macro="" textlink="">
      <xdr:nvSpPr>
        <xdr:cNvPr id="72" name="縦巻き 71"/>
        <xdr:cNvSpPr/>
      </xdr:nvSpPr>
      <xdr:spPr>
        <a:xfrm>
          <a:off x="3743325" y="16744950"/>
          <a:ext cx="812800" cy="3632200"/>
        </a:xfrm>
        <a:prstGeom prst="verticalScroll">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kumimoji="1" lang="ja-JP" altLang="en-US" sz="2000">
              <a:solidFill>
                <a:schemeClr val="tx1"/>
              </a:solidFill>
            </a:rPr>
            <a:t>計算書作成の手順</a:t>
          </a:r>
        </a:p>
      </xdr:txBody>
    </xdr:sp>
    <xdr:clientData/>
  </xdr:twoCellAnchor>
  <xdr:twoCellAnchor>
    <xdr:from>
      <xdr:col>5</xdr:col>
      <xdr:colOff>257735</xdr:colOff>
      <xdr:row>71</xdr:row>
      <xdr:rowOff>22413</xdr:rowOff>
    </xdr:from>
    <xdr:to>
      <xdr:col>11</xdr:col>
      <xdr:colOff>224118</xdr:colOff>
      <xdr:row>84</xdr:row>
      <xdr:rowOff>112060</xdr:rowOff>
    </xdr:to>
    <xdr:sp macro="" textlink="">
      <xdr:nvSpPr>
        <xdr:cNvPr id="73" name="円/楕円 72"/>
        <xdr:cNvSpPr/>
      </xdr:nvSpPr>
      <xdr:spPr>
        <a:xfrm>
          <a:off x="3686735" y="14167038"/>
          <a:ext cx="2347633" cy="250899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686318</xdr:colOff>
      <xdr:row>72</xdr:row>
      <xdr:rowOff>145676</xdr:rowOff>
    </xdr:from>
    <xdr:to>
      <xdr:col>22</xdr:col>
      <xdr:colOff>179295</xdr:colOff>
      <xdr:row>73</xdr:row>
      <xdr:rowOff>5729</xdr:rowOff>
    </xdr:to>
    <xdr:cxnSp macro="">
      <xdr:nvCxnSpPr>
        <xdr:cNvPr id="74" name="直線矢印コネクタ 73"/>
        <xdr:cNvCxnSpPr/>
      </xdr:nvCxnSpPr>
      <xdr:spPr>
        <a:xfrm flipH="1">
          <a:off x="5753618" y="14537951"/>
          <a:ext cx="8675077" cy="41028"/>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428625</xdr:colOff>
      <xdr:row>44</xdr:row>
      <xdr:rowOff>152400</xdr:rowOff>
    </xdr:from>
    <xdr:to>
      <xdr:col>13</xdr:col>
      <xdr:colOff>277811</xdr:colOff>
      <xdr:row>53</xdr:row>
      <xdr:rowOff>127000</xdr:rowOff>
    </xdr:to>
    <xdr:sp macro="" textlink="">
      <xdr:nvSpPr>
        <xdr:cNvPr id="75" name="角丸四角形吹き出し 74"/>
        <xdr:cNvSpPr/>
      </xdr:nvSpPr>
      <xdr:spPr>
        <a:xfrm>
          <a:off x="6238875" y="8515350"/>
          <a:ext cx="1773236" cy="1603375"/>
        </a:xfrm>
        <a:prstGeom prst="wedgeRoundRectCallout">
          <a:avLst>
            <a:gd name="adj1" fmla="val -73201"/>
            <a:gd name="adj2" fmla="val 5225"/>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施工時に、継手の数量や配管ルートが変更される可能性があるため、設備設計の段階では１割の余裕を見込みます</a:t>
          </a:r>
        </a:p>
      </xdr:txBody>
    </xdr:sp>
    <xdr:clientData fPrintsWithSheet="0"/>
  </xdr:twoCellAnchor>
  <xdr:twoCellAnchor>
    <xdr:from>
      <xdr:col>0</xdr:col>
      <xdr:colOff>428624</xdr:colOff>
      <xdr:row>55</xdr:row>
      <xdr:rowOff>201612</xdr:rowOff>
    </xdr:from>
    <xdr:to>
      <xdr:col>4</xdr:col>
      <xdr:colOff>438149</xdr:colOff>
      <xdr:row>58</xdr:row>
      <xdr:rowOff>201612</xdr:rowOff>
    </xdr:to>
    <xdr:sp macro="" textlink="">
      <xdr:nvSpPr>
        <xdr:cNvPr id="76" name="角丸四角形吹き出し 75"/>
        <xdr:cNvSpPr/>
      </xdr:nvSpPr>
      <xdr:spPr>
        <a:xfrm>
          <a:off x="428624" y="10641012"/>
          <a:ext cx="2752725" cy="704850"/>
        </a:xfrm>
        <a:prstGeom prst="wedgeRoundRectCallout">
          <a:avLst>
            <a:gd name="adj1" fmla="val 108455"/>
            <a:gd name="adj2" fmla="val -138643"/>
            <a:gd name="adj3" fmla="val 16667"/>
          </a:avLst>
        </a:prstGeom>
        <a:solidFill>
          <a:schemeClr val="accent6">
            <a:lumMod val="60000"/>
            <a:lumOff val="4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eaLnBrk="1" fontAlgn="auto" latinLnBrk="0" hangingPunct="1"/>
          <a:r>
            <a:rPr kumimoji="1" lang="ja-JP" altLang="ja-JP" sz="1400" b="1" i="0" baseline="0">
              <a:solidFill>
                <a:sysClr val="windowText" lastClr="000000"/>
              </a:solidFill>
              <a:latin typeface="+mn-lt"/>
              <a:ea typeface="+mn-ea"/>
              <a:cs typeface="+mn-cs"/>
            </a:rPr>
            <a:t>「必要給水圧力≦給水圧力」となることを確認してください</a:t>
          </a:r>
          <a:endParaRPr kumimoji="1" lang="ja-JP" altLang="ja-JP" sz="1400" b="1">
            <a:solidFill>
              <a:sysClr val="windowText" lastClr="000000"/>
            </a:solidFill>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xdr:from>
          <xdr:col>8</xdr:col>
          <xdr:colOff>76200</xdr:colOff>
          <xdr:row>85</xdr:row>
          <xdr:rowOff>57150</xdr:rowOff>
        </xdr:from>
        <xdr:to>
          <xdr:col>27</xdr:col>
          <xdr:colOff>219075</xdr:colOff>
          <xdr:row>102</xdr:row>
          <xdr:rowOff>76200</xdr:rowOff>
        </xdr:to>
        <xdr:sp macro="" textlink="">
          <xdr:nvSpPr>
            <xdr:cNvPr id="2072" name="Object 24" hidden="1">
              <a:extLst>
                <a:ext uri="{63B3BB69-23CF-44E3-9099-C40C66FF867C}">
                  <a14:compatExt spid="_x0000_s2072"/>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28575</xdr:colOff>
      <xdr:row>4</xdr:row>
      <xdr:rowOff>0</xdr:rowOff>
    </xdr:from>
    <xdr:to>
      <xdr:col>4</xdr:col>
      <xdr:colOff>590550</xdr:colOff>
      <xdr:row>7</xdr:row>
      <xdr:rowOff>209549</xdr:rowOff>
    </xdr:to>
    <xdr:sp macro="" textlink="">
      <xdr:nvSpPr>
        <xdr:cNvPr id="2" name="横巻き 1"/>
        <xdr:cNvSpPr/>
      </xdr:nvSpPr>
      <xdr:spPr>
        <a:xfrm>
          <a:off x="28575" y="885825"/>
          <a:ext cx="3305175" cy="828674"/>
        </a:xfrm>
        <a:prstGeom prst="horizontalScrol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bg1"/>
              </a:solidFill>
            </a:rPr>
            <a:t>下記の手順で</a:t>
          </a:r>
          <a:r>
            <a:rPr kumimoji="1" lang="ja-JP" altLang="en-US" sz="1400" b="1" u="sng">
              <a:solidFill>
                <a:srgbClr val="0000FF"/>
              </a:solidFill>
            </a:rPr>
            <a:t>青色のセル</a:t>
          </a:r>
          <a:r>
            <a:rPr kumimoji="1" lang="ja-JP" altLang="en-US" sz="1400" b="1">
              <a:solidFill>
                <a:schemeClr val="tx1"/>
              </a:solidFill>
            </a:rPr>
            <a:t>に</a:t>
          </a:r>
          <a:r>
            <a:rPr kumimoji="1" lang="ja-JP" altLang="en-US" sz="1400" b="1">
              <a:solidFill>
                <a:schemeClr val="bg1"/>
              </a:solidFill>
            </a:rPr>
            <a:t>記入します</a:t>
          </a:r>
          <a:endParaRPr kumimoji="1" lang="en-US" altLang="ja-JP" sz="1400" b="1">
            <a:solidFill>
              <a:schemeClr val="bg1"/>
            </a:solidFill>
          </a:endParaRPr>
        </a:p>
        <a:p>
          <a:pPr algn="ctr"/>
          <a:r>
            <a:rPr kumimoji="1" lang="ja-JP" altLang="en-US" sz="1400" b="1">
              <a:solidFill>
                <a:schemeClr val="bg1"/>
              </a:solidFill>
            </a:rPr>
            <a:t>（吹出しや矢印は印刷されません）</a:t>
          </a:r>
        </a:p>
      </xdr:txBody>
    </xdr:sp>
    <xdr:clientData/>
  </xdr:twoCellAnchor>
  <xdr:twoCellAnchor>
    <xdr:from>
      <xdr:col>0</xdr:col>
      <xdr:colOff>47626</xdr:colOff>
      <xdr:row>0</xdr:row>
      <xdr:rowOff>38100</xdr:rowOff>
    </xdr:from>
    <xdr:to>
      <xdr:col>4</xdr:col>
      <xdr:colOff>561976</xdr:colOff>
      <xdr:row>3</xdr:row>
      <xdr:rowOff>142875</xdr:rowOff>
    </xdr:to>
    <xdr:sp macro="" textlink="">
      <xdr:nvSpPr>
        <xdr:cNvPr id="3" name="小波 2"/>
        <xdr:cNvSpPr/>
      </xdr:nvSpPr>
      <xdr:spPr>
        <a:xfrm>
          <a:off x="47626" y="38100"/>
          <a:ext cx="3257550" cy="838200"/>
        </a:xfrm>
        <a:prstGeom prst="doubleWave">
          <a:avLst/>
        </a:prstGeom>
        <a:solidFill>
          <a:srgbClr val="FFCCFF"/>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400" b="1" u="none">
              <a:solidFill>
                <a:schemeClr val="tx1"/>
              </a:solidFill>
              <a:latin typeface="+mj-ea"/>
              <a:ea typeface="+mj-ea"/>
            </a:rPr>
            <a:t>4</a:t>
          </a:r>
          <a:r>
            <a:rPr kumimoji="1" lang="ja-JP" altLang="en-US" sz="1400" b="1" u="none">
              <a:solidFill>
                <a:schemeClr val="tx1"/>
              </a:solidFill>
              <a:latin typeface="+mj-ea"/>
              <a:ea typeface="+mj-ea"/>
            </a:rPr>
            <a:t>個放水時に、</a:t>
          </a:r>
          <a:r>
            <a:rPr kumimoji="1" lang="en-US" altLang="ja-JP" sz="1400" b="1" u="none">
              <a:solidFill>
                <a:schemeClr val="tx1"/>
              </a:solidFill>
              <a:latin typeface="+mj-ea"/>
              <a:ea typeface="+mj-ea"/>
            </a:rPr>
            <a:t>0.025Mpa-15L/min</a:t>
          </a:r>
          <a:r>
            <a:rPr kumimoji="1" lang="ja-JP" altLang="en-US" sz="1400" b="1" u="none">
              <a:solidFill>
                <a:schemeClr val="tx1"/>
              </a:solidFill>
              <a:latin typeface="+mj-ea"/>
              <a:ea typeface="+mj-ea"/>
            </a:rPr>
            <a:t>以上の放水ができることを確認する計算書です。</a:t>
          </a:r>
        </a:p>
      </xdr:txBody>
    </xdr:sp>
    <xdr:clientData/>
  </xdr:twoCellAnchor>
  <xdr:twoCellAnchor>
    <xdr:from>
      <xdr:col>0</xdr:col>
      <xdr:colOff>428626</xdr:colOff>
      <xdr:row>7</xdr:row>
      <xdr:rowOff>200025</xdr:rowOff>
    </xdr:from>
    <xdr:to>
      <xdr:col>4</xdr:col>
      <xdr:colOff>561975</xdr:colOff>
      <xdr:row>10</xdr:row>
      <xdr:rowOff>19051</xdr:rowOff>
    </xdr:to>
    <xdr:sp macro="" textlink="">
      <xdr:nvSpPr>
        <xdr:cNvPr id="4" name="角丸四角形吹き出し 3"/>
        <xdr:cNvSpPr/>
      </xdr:nvSpPr>
      <xdr:spPr>
        <a:xfrm>
          <a:off x="428626" y="1704975"/>
          <a:ext cx="2876549" cy="495301"/>
        </a:xfrm>
        <a:prstGeom prst="wedgeRoundRectCallout">
          <a:avLst>
            <a:gd name="adj1" fmla="val 49915"/>
            <a:gd name="adj2" fmla="val -21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Ａ．配管条件を入力</a:t>
          </a:r>
          <a:endParaRPr kumimoji="1" lang="ja-JP" altLang="ja-JP" sz="1400" b="1">
            <a:solidFill>
              <a:schemeClr val="tx1"/>
            </a:solidFill>
            <a:latin typeface="+mn-lt"/>
            <a:ea typeface="+mn-ea"/>
            <a:cs typeface="+mn-cs"/>
          </a:endParaRPr>
        </a:p>
      </xdr:txBody>
    </xdr:sp>
    <xdr:clientData fPrintsWithSheet="0"/>
  </xdr:twoCellAnchor>
  <xdr:twoCellAnchor>
    <xdr:from>
      <xdr:col>0</xdr:col>
      <xdr:colOff>428626</xdr:colOff>
      <xdr:row>10</xdr:row>
      <xdr:rowOff>95250</xdr:rowOff>
    </xdr:from>
    <xdr:to>
      <xdr:col>4</xdr:col>
      <xdr:colOff>400051</xdr:colOff>
      <xdr:row>19</xdr:row>
      <xdr:rowOff>19050</xdr:rowOff>
    </xdr:to>
    <xdr:sp macro="" textlink="">
      <xdr:nvSpPr>
        <xdr:cNvPr id="5" name="強調線吹き出し 3 (枠付き) 4"/>
        <xdr:cNvSpPr/>
      </xdr:nvSpPr>
      <xdr:spPr>
        <a:xfrm>
          <a:off x="428626" y="2276475"/>
          <a:ext cx="2714625" cy="1552575"/>
        </a:xfrm>
        <a:prstGeom prst="accentBorderCallout3">
          <a:avLst>
            <a:gd name="adj1" fmla="val 47655"/>
            <a:gd name="adj2" fmla="val 99899"/>
            <a:gd name="adj3" fmla="val 5768"/>
            <a:gd name="adj4" fmla="val 112754"/>
            <a:gd name="adj5" fmla="val 454"/>
            <a:gd name="adj6" fmla="val 116236"/>
            <a:gd name="adj7" fmla="val -8176"/>
            <a:gd name="adj8" fmla="val 124810"/>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①区間の入力は表示部の上の</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セルで行います</a:t>
          </a:r>
          <a:r>
            <a:rPr lang="ja-JP" altLang="ja-JP" sz="1400" b="1" i="0" baseline="0">
              <a:solidFill>
                <a:sysClr val="windowText" lastClr="000000"/>
              </a:solidFill>
              <a:latin typeface="+mn-lt"/>
              <a:ea typeface="+mn-ea"/>
              <a:cs typeface="+mn-cs"/>
            </a:rPr>
            <a:t>。</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ここに「１」と入力すると、</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「①－②」と表示されます。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以下同様に「２」、「３」、「４」と</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区画数に応じて入力します。</a:t>
          </a:r>
          <a:endParaRPr lang="ja-JP" altLang="ja-JP" sz="1400" b="1">
            <a:solidFill>
              <a:sysClr val="windowText" lastClr="000000"/>
            </a:solidFill>
          </a:endParaRPr>
        </a:p>
      </xdr:txBody>
    </xdr:sp>
    <xdr:clientData fPrintsWithSheet="0"/>
  </xdr:twoCellAnchor>
  <xdr:twoCellAnchor>
    <xdr:from>
      <xdr:col>0</xdr:col>
      <xdr:colOff>409575</xdr:colOff>
      <xdr:row>23</xdr:row>
      <xdr:rowOff>123825</xdr:rowOff>
    </xdr:from>
    <xdr:to>
      <xdr:col>4</xdr:col>
      <xdr:colOff>419100</xdr:colOff>
      <xdr:row>29</xdr:row>
      <xdr:rowOff>9525</xdr:rowOff>
    </xdr:to>
    <xdr:sp macro="" textlink="">
      <xdr:nvSpPr>
        <xdr:cNvPr id="6" name="角丸四角形吹き出し 5"/>
        <xdr:cNvSpPr/>
      </xdr:nvSpPr>
      <xdr:spPr>
        <a:xfrm>
          <a:off x="409575" y="4657725"/>
          <a:ext cx="2752725" cy="971550"/>
        </a:xfrm>
        <a:prstGeom prst="wedgeRoundRectCallout">
          <a:avLst>
            <a:gd name="adj1" fmla="val 103611"/>
            <a:gd name="adj2" fmla="val -85812"/>
            <a:gd name="adj3" fmla="val 16667"/>
          </a:avLst>
        </a:prstGeom>
        <a:solidFill>
          <a:srgbClr val="FFFF99"/>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黄色のセル</a:t>
          </a:r>
          <a:r>
            <a:rPr kumimoji="1" lang="ja-JP" altLang="en-US" sz="1100">
              <a:solidFill>
                <a:sysClr val="windowText" lastClr="000000"/>
              </a:solidFill>
              <a:latin typeface="+mn-lt"/>
              <a:ea typeface="+mn-ea"/>
              <a:cs typeface="+mn-cs"/>
            </a:rPr>
            <a:t>は</a:t>
          </a:r>
          <a:r>
            <a:rPr kumimoji="1" lang="ja-JP" altLang="en-US" sz="1100">
              <a:solidFill>
                <a:sysClr val="windowText" lastClr="000000"/>
              </a:solidFill>
            </a:rPr>
            <a:t>配管の種類が自動入力されます。なお、電動弁１次側等で配管の種類が異なる場合は、リストから選択して変更します。</a:t>
          </a:r>
        </a:p>
      </xdr:txBody>
    </xdr:sp>
    <xdr:clientData fPrintsWithSheet="0"/>
  </xdr:twoCellAnchor>
  <xdr:twoCellAnchor>
    <xdr:from>
      <xdr:col>0</xdr:col>
      <xdr:colOff>428626</xdr:colOff>
      <xdr:row>29</xdr:row>
      <xdr:rowOff>114301</xdr:rowOff>
    </xdr:from>
    <xdr:to>
      <xdr:col>4</xdr:col>
      <xdr:colOff>400051</xdr:colOff>
      <xdr:row>33</xdr:row>
      <xdr:rowOff>19051</xdr:rowOff>
    </xdr:to>
    <xdr:sp macro="" textlink="">
      <xdr:nvSpPr>
        <xdr:cNvPr id="7" name="強調線吹き出し 3 (枠付き) 6"/>
        <xdr:cNvSpPr/>
      </xdr:nvSpPr>
      <xdr:spPr>
        <a:xfrm>
          <a:off x="428626" y="5734051"/>
          <a:ext cx="2714625" cy="628650"/>
        </a:xfrm>
        <a:prstGeom prst="accentBorderCallout3">
          <a:avLst>
            <a:gd name="adj1" fmla="val 44913"/>
            <a:gd name="adj2" fmla="val 99899"/>
            <a:gd name="adj3" fmla="val -164319"/>
            <a:gd name="adj4" fmla="val 219421"/>
            <a:gd name="adj5" fmla="val -466799"/>
            <a:gd name="adj6" fmla="val 220797"/>
            <a:gd name="adj7" fmla="val -530337"/>
            <a:gd name="adj8" fmla="val 252529"/>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③区間の配管長（ｍ）を入力</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します。</a:t>
          </a:r>
          <a:endParaRPr lang="ja-JP" altLang="ja-JP" sz="1400" b="1">
            <a:solidFill>
              <a:sysClr val="windowText" lastClr="000000"/>
            </a:solidFill>
          </a:endParaRPr>
        </a:p>
      </xdr:txBody>
    </xdr:sp>
    <xdr:clientData fPrintsWithSheet="0"/>
  </xdr:twoCellAnchor>
  <xdr:twoCellAnchor>
    <xdr:from>
      <xdr:col>0</xdr:col>
      <xdr:colOff>428626</xdr:colOff>
      <xdr:row>19</xdr:row>
      <xdr:rowOff>114301</xdr:rowOff>
    </xdr:from>
    <xdr:to>
      <xdr:col>4</xdr:col>
      <xdr:colOff>400051</xdr:colOff>
      <xdr:row>23</xdr:row>
      <xdr:rowOff>19051</xdr:rowOff>
    </xdr:to>
    <xdr:sp macro="" textlink="">
      <xdr:nvSpPr>
        <xdr:cNvPr id="8" name="強調線吹き出し 3 (枠付き) 7"/>
        <xdr:cNvSpPr/>
      </xdr:nvSpPr>
      <xdr:spPr>
        <a:xfrm>
          <a:off x="428626" y="3924301"/>
          <a:ext cx="2714625" cy="628650"/>
        </a:xfrm>
        <a:prstGeom prst="accentBorderCallout3">
          <a:avLst>
            <a:gd name="adj1" fmla="val 46428"/>
            <a:gd name="adj2" fmla="val 100250"/>
            <a:gd name="adj3" fmla="val -234016"/>
            <a:gd name="adj4" fmla="val 122578"/>
            <a:gd name="adj5" fmla="val -233465"/>
            <a:gd name="adj6" fmla="val 147465"/>
            <a:gd name="adj7" fmla="val -245489"/>
            <a:gd name="adj8" fmla="val 153232"/>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②配管の呼び径を記入します。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（数字のみ記入）</a:t>
          </a:r>
          <a:endParaRPr lang="ja-JP" altLang="ja-JP" sz="1400" b="1">
            <a:solidFill>
              <a:sysClr val="windowText" lastClr="000000"/>
            </a:solidFill>
          </a:endParaRPr>
        </a:p>
      </xdr:txBody>
    </xdr:sp>
    <xdr:clientData fPrintsWithSheet="0"/>
  </xdr:twoCellAnchor>
  <xdr:twoCellAnchor>
    <xdr:from>
      <xdr:col>0</xdr:col>
      <xdr:colOff>428626</xdr:colOff>
      <xdr:row>33</xdr:row>
      <xdr:rowOff>114300</xdr:rowOff>
    </xdr:from>
    <xdr:to>
      <xdr:col>4</xdr:col>
      <xdr:colOff>561975</xdr:colOff>
      <xdr:row>36</xdr:row>
      <xdr:rowOff>66676</xdr:rowOff>
    </xdr:to>
    <xdr:sp macro="" textlink="">
      <xdr:nvSpPr>
        <xdr:cNvPr id="9" name="角丸四角形吹き出し 8"/>
        <xdr:cNvSpPr/>
      </xdr:nvSpPr>
      <xdr:spPr>
        <a:xfrm>
          <a:off x="428626" y="6457950"/>
          <a:ext cx="2876549" cy="495301"/>
        </a:xfrm>
        <a:prstGeom prst="wedgeRoundRectCallout">
          <a:avLst>
            <a:gd name="adj1" fmla="val 49915"/>
            <a:gd name="adj2" fmla="val -21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Ｂ．継手等の条件を入力</a:t>
          </a:r>
          <a:endParaRPr kumimoji="1" lang="ja-JP" altLang="ja-JP" sz="1400" b="1">
            <a:solidFill>
              <a:schemeClr val="tx1"/>
            </a:solidFill>
            <a:latin typeface="+mn-lt"/>
            <a:ea typeface="+mn-ea"/>
            <a:cs typeface="+mn-cs"/>
          </a:endParaRPr>
        </a:p>
      </xdr:txBody>
    </xdr:sp>
    <xdr:clientData fPrintsWithSheet="0"/>
  </xdr:twoCellAnchor>
  <xdr:twoCellAnchor editAs="absolute">
    <xdr:from>
      <xdr:col>0</xdr:col>
      <xdr:colOff>428626</xdr:colOff>
      <xdr:row>36</xdr:row>
      <xdr:rowOff>152401</xdr:rowOff>
    </xdr:from>
    <xdr:to>
      <xdr:col>4</xdr:col>
      <xdr:colOff>400051</xdr:colOff>
      <xdr:row>40</xdr:row>
      <xdr:rowOff>57151</xdr:rowOff>
    </xdr:to>
    <xdr:sp macro="" textlink="">
      <xdr:nvSpPr>
        <xdr:cNvPr id="10" name="強調線吹き出し 3 (枠付き) 9"/>
        <xdr:cNvSpPr>
          <a:spLocks/>
        </xdr:cNvSpPr>
      </xdr:nvSpPr>
      <xdr:spPr>
        <a:xfrm>
          <a:off x="428626" y="7038976"/>
          <a:ext cx="2714625" cy="628650"/>
        </a:xfrm>
        <a:prstGeom prst="accentBorderCallout3">
          <a:avLst>
            <a:gd name="adj1" fmla="val 40367"/>
            <a:gd name="adj2" fmla="val 99899"/>
            <a:gd name="adj3" fmla="val -320381"/>
            <a:gd name="adj4" fmla="val 312754"/>
            <a:gd name="adj5" fmla="val -734981"/>
            <a:gd name="adj6" fmla="val 312727"/>
            <a:gd name="adj7" fmla="val -787914"/>
            <a:gd name="adj8" fmla="val 321301"/>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④区間内に接続される継手の</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数量を入力します。</a:t>
          </a:r>
          <a:endParaRPr lang="ja-JP" altLang="ja-JP" sz="1400" b="1">
            <a:solidFill>
              <a:sysClr val="windowText" lastClr="000000"/>
            </a:solidFill>
          </a:endParaRPr>
        </a:p>
      </xdr:txBody>
    </xdr:sp>
    <xdr:clientData fPrintsWithSheet="0"/>
  </xdr:twoCellAnchor>
  <xdr:twoCellAnchor>
    <xdr:from>
      <xdr:col>14</xdr:col>
      <xdr:colOff>377190</xdr:colOff>
      <xdr:row>11</xdr:row>
      <xdr:rowOff>57150</xdr:rowOff>
    </xdr:from>
    <xdr:to>
      <xdr:col>15</xdr:col>
      <xdr:colOff>9525</xdr:colOff>
      <xdr:row>11</xdr:row>
      <xdr:rowOff>114300</xdr:rowOff>
    </xdr:to>
    <xdr:cxnSp macro="">
      <xdr:nvCxnSpPr>
        <xdr:cNvPr id="14" name="直線矢印コネクタ 13"/>
        <xdr:cNvCxnSpPr/>
      </xdr:nvCxnSpPr>
      <xdr:spPr>
        <a:xfrm>
          <a:off x="8919210" y="2426970"/>
          <a:ext cx="291465" cy="57150"/>
        </a:xfrm>
        <a:prstGeom prst="straightConnector1">
          <a:avLst/>
        </a:prstGeom>
        <a:ln w="25400">
          <a:solidFill>
            <a:schemeClr val="accent1">
              <a:lumMod val="75000"/>
            </a:schemeClr>
          </a:solidFill>
          <a:tailEnd type="triangle"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14</xdr:col>
      <xdr:colOff>373380</xdr:colOff>
      <xdr:row>10</xdr:row>
      <xdr:rowOff>85725</xdr:rowOff>
    </xdr:from>
    <xdr:to>
      <xdr:col>14</xdr:col>
      <xdr:colOff>647700</xdr:colOff>
      <xdr:row>11</xdr:row>
      <xdr:rowOff>49530</xdr:rowOff>
    </xdr:to>
    <xdr:cxnSp macro="">
      <xdr:nvCxnSpPr>
        <xdr:cNvPr id="15" name="直線矢印コネクタ 14"/>
        <xdr:cNvCxnSpPr/>
      </xdr:nvCxnSpPr>
      <xdr:spPr>
        <a:xfrm flipV="1">
          <a:off x="8915400" y="2272665"/>
          <a:ext cx="274320" cy="146685"/>
        </a:xfrm>
        <a:prstGeom prst="straightConnector1">
          <a:avLst/>
        </a:prstGeom>
        <a:ln w="25400">
          <a:solidFill>
            <a:schemeClr val="accent1">
              <a:lumMod val="75000"/>
            </a:schemeClr>
          </a:solidFill>
          <a:tailEnd type="triangle"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19</xdr:col>
      <xdr:colOff>116898</xdr:colOff>
      <xdr:row>10</xdr:row>
      <xdr:rowOff>95252</xdr:rowOff>
    </xdr:from>
    <xdr:to>
      <xdr:col>19</xdr:col>
      <xdr:colOff>797403</xdr:colOff>
      <xdr:row>12</xdr:row>
      <xdr:rowOff>8659</xdr:rowOff>
    </xdr:to>
    <xdr:cxnSp macro="">
      <xdr:nvCxnSpPr>
        <xdr:cNvPr id="18" name="直線矢印コネクタ 17"/>
        <xdr:cNvCxnSpPr/>
      </xdr:nvCxnSpPr>
      <xdr:spPr>
        <a:xfrm flipV="1">
          <a:off x="11936557" y="2273013"/>
          <a:ext cx="680505" cy="277089"/>
        </a:xfrm>
        <a:prstGeom prst="straightConnector1">
          <a:avLst/>
        </a:prstGeom>
        <a:ln w="25400">
          <a:solidFill>
            <a:schemeClr val="accent1">
              <a:lumMod val="75000"/>
            </a:schemeClr>
          </a:solidFill>
          <a:tailEnd type="triangle"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19</xdr:col>
      <xdr:colOff>103909</xdr:colOff>
      <xdr:row>11</xdr:row>
      <xdr:rowOff>95619</xdr:rowOff>
    </xdr:from>
    <xdr:to>
      <xdr:col>20</xdr:col>
      <xdr:colOff>0</xdr:colOff>
      <xdr:row>12</xdr:row>
      <xdr:rowOff>8659</xdr:rowOff>
    </xdr:to>
    <xdr:cxnSp macro="">
      <xdr:nvCxnSpPr>
        <xdr:cNvPr id="20" name="直線矢印コネクタ 19"/>
        <xdr:cNvCxnSpPr/>
      </xdr:nvCxnSpPr>
      <xdr:spPr>
        <a:xfrm flipV="1">
          <a:off x="11923568" y="2455221"/>
          <a:ext cx="705716" cy="94881"/>
        </a:xfrm>
        <a:prstGeom prst="straightConnector1">
          <a:avLst/>
        </a:prstGeom>
        <a:ln w="25400">
          <a:solidFill>
            <a:schemeClr val="accent1">
              <a:lumMod val="75000"/>
            </a:schemeClr>
          </a:solidFill>
          <a:tailEnd type="triangle" w="med" len="med"/>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423863</xdr:colOff>
      <xdr:row>40</xdr:row>
      <xdr:rowOff>154781</xdr:rowOff>
    </xdr:from>
    <xdr:to>
      <xdr:col>4</xdr:col>
      <xdr:colOff>395288</xdr:colOff>
      <xdr:row>53</xdr:row>
      <xdr:rowOff>4761</xdr:rowOff>
    </xdr:to>
    <xdr:sp macro="" textlink="">
      <xdr:nvSpPr>
        <xdr:cNvPr id="25" name="強調線吹き出し 3 (枠付き) 24"/>
        <xdr:cNvSpPr/>
      </xdr:nvSpPr>
      <xdr:spPr>
        <a:xfrm>
          <a:off x="423863" y="7765256"/>
          <a:ext cx="2714625" cy="2231230"/>
        </a:xfrm>
        <a:prstGeom prst="accentBorderCallout3">
          <a:avLst>
            <a:gd name="adj1" fmla="val 44294"/>
            <a:gd name="adj2" fmla="val 99899"/>
            <a:gd name="adj3" fmla="val -109582"/>
            <a:gd name="adj4" fmla="val 425161"/>
            <a:gd name="adj5" fmla="val -233980"/>
            <a:gd name="adj6" fmla="val 425187"/>
            <a:gd name="adj7" fmla="val -255025"/>
            <a:gd name="adj8" fmla="val 446173"/>
          </a:avLst>
        </a:prstGeom>
        <a:solidFill>
          <a:srgbClr val="CCFFCC"/>
        </a:solidFill>
        <a:ln>
          <a:solidFill>
            <a:schemeClr val="accent1">
              <a:shade val="5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en-US" sz="1400" b="1" i="0" baseline="0">
              <a:solidFill>
                <a:sysClr val="windowText" lastClr="000000"/>
              </a:solidFill>
              <a:latin typeface="+mn-lt"/>
              <a:ea typeface="+mn-ea"/>
              <a:cs typeface="+mn-cs"/>
            </a:rPr>
            <a:t>⑤区間内に接続される弁類を</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リストから選択し、それぞれ</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の数量を入力します。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電動弁及び逆流防止装置は、</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上段か中段のセルから選択</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してください。</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逆流防止装置は、メーカーに</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よって末尾が異なります。</a:t>
          </a:r>
          <a:endParaRPr lang="en-US" altLang="ja-JP" sz="1400" b="1" i="0" baseline="0">
            <a:solidFill>
              <a:sysClr val="windowText" lastClr="000000"/>
            </a:solidFill>
            <a:latin typeface="+mn-lt"/>
            <a:ea typeface="+mn-ea"/>
            <a:cs typeface="+mn-cs"/>
          </a:endParaRPr>
        </a:p>
        <a:p>
          <a:pPr rtl="0"/>
          <a:r>
            <a:rPr lang="ja-JP" altLang="en-US" sz="1400" b="1" i="0" baseline="0">
              <a:solidFill>
                <a:sysClr val="windowText" lastClr="000000"/>
              </a:solidFill>
              <a:latin typeface="+mn-lt"/>
              <a:ea typeface="+mn-ea"/>
              <a:cs typeface="+mn-cs"/>
            </a:rPr>
            <a:t>　  Ｅ：荏原、Ｋ：川本、Ｔ：テラル</a:t>
          </a:r>
          <a:endParaRPr lang="en-US" altLang="ja-JP" sz="1400" b="1" i="0" baseline="0">
            <a:solidFill>
              <a:sysClr val="windowText" lastClr="000000"/>
            </a:solidFill>
            <a:latin typeface="+mn-lt"/>
            <a:ea typeface="+mn-ea"/>
            <a:cs typeface="+mn-cs"/>
          </a:endParaRPr>
        </a:p>
      </xdr:txBody>
    </xdr:sp>
    <xdr:clientData fPrintsWithSheet="0"/>
  </xdr:twoCellAnchor>
  <xdr:twoCellAnchor>
    <xdr:from>
      <xdr:col>0</xdr:col>
      <xdr:colOff>423863</xdr:colOff>
      <xdr:row>53</xdr:row>
      <xdr:rowOff>80170</xdr:rowOff>
    </xdr:from>
    <xdr:to>
      <xdr:col>4</xdr:col>
      <xdr:colOff>557212</xdr:colOff>
      <xdr:row>55</xdr:row>
      <xdr:rowOff>111920</xdr:rowOff>
    </xdr:to>
    <xdr:sp macro="" textlink="">
      <xdr:nvSpPr>
        <xdr:cNvPr id="26" name="角丸四角形吹き出し 25"/>
        <xdr:cNvSpPr/>
      </xdr:nvSpPr>
      <xdr:spPr>
        <a:xfrm>
          <a:off x="423863" y="9986170"/>
          <a:ext cx="2895599" cy="472281"/>
        </a:xfrm>
        <a:prstGeom prst="wedgeRoundRectCallout">
          <a:avLst>
            <a:gd name="adj1" fmla="val 49915"/>
            <a:gd name="adj2" fmla="val -21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Ｃ．必要給水圧力の確認</a:t>
          </a:r>
          <a:endParaRPr kumimoji="1" lang="ja-JP" altLang="ja-JP" sz="1400" b="1">
            <a:solidFill>
              <a:schemeClr val="tx1"/>
            </a:solidFill>
            <a:latin typeface="+mn-lt"/>
            <a:ea typeface="+mn-ea"/>
            <a:cs typeface="+mn-cs"/>
          </a:endParaRPr>
        </a:p>
      </xdr:txBody>
    </xdr:sp>
    <xdr:clientData fPrintsWithSheet="0"/>
  </xdr:twoCellAnchor>
  <xdr:twoCellAnchor>
    <xdr:from>
      <xdr:col>13</xdr:col>
      <xdr:colOff>381000</xdr:colOff>
      <xdr:row>44</xdr:row>
      <xdr:rowOff>165100</xdr:rowOff>
    </xdr:from>
    <xdr:to>
      <xdr:col>18</xdr:col>
      <xdr:colOff>355601</xdr:colOff>
      <xdr:row>53</xdr:row>
      <xdr:rowOff>139700</xdr:rowOff>
    </xdr:to>
    <xdr:sp macro="" textlink="">
      <xdr:nvSpPr>
        <xdr:cNvPr id="19" name="角丸四角形吹き出し 18"/>
        <xdr:cNvSpPr/>
      </xdr:nvSpPr>
      <xdr:spPr>
        <a:xfrm>
          <a:off x="8128000" y="8458200"/>
          <a:ext cx="3416301" cy="1574800"/>
        </a:xfrm>
        <a:prstGeom prst="wedgeRoundRectCallout">
          <a:avLst>
            <a:gd name="adj1" fmla="val -10933"/>
            <a:gd name="adj2" fmla="val -82696"/>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Ｅ９０</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：曲がり角９０</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のエルボ</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Ｔ直　　：直流方向に接続されたチーズ</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Ｔ分　　：分流方向（９０</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曲がる流れ方向）</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　　　　　に接続されたチーズ</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eaLnBrk="1" fontAlgn="auto" latinLnBrk="0" hangingPunct="1"/>
          <a:r>
            <a:rPr kumimoji="1" lang="en-US" altLang="ja-JP" sz="1100">
              <a:solidFill>
                <a:sysClr val="windowText" lastClr="000000"/>
              </a:solidFill>
              <a:latin typeface="ＭＳ ゴシック" pitchFamily="49" charset="-128"/>
              <a:ea typeface="ＭＳ ゴシック" pitchFamily="49" charset="-128"/>
            </a:rPr>
            <a:t>※</a:t>
          </a:r>
          <a:r>
            <a:rPr kumimoji="1" lang="ja-JP" altLang="ja-JP" sz="1100">
              <a:solidFill>
                <a:sysClr val="windowText" lastClr="000000"/>
              </a:solidFill>
              <a:latin typeface="+mn-lt"/>
              <a:ea typeface="+mn-ea"/>
              <a:cs typeface="+mn-cs"/>
            </a:rPr>
            <a:t>管種および口径によっては</a:t>
          </a:r>
          <a:r>
            <a:rPr kumimoji="1" lang="ja-JP" altLang="en-US" sz="1100">
              <a:solidFill>
                <a:sysClr val="windowText" lastClr="000000"/>
              </a:solidFill>
              <a:latin typeface="+mn-lt"/>
              <a:ea typeface="+mn-ea"/>
              <a:cs typeface="+mn-cs"/>
            </a:rPr>
            <a:t>、Ｔ分の</a:t>
          </a:r>
          <a:r>
            <a:rPr kumimoji="1" lang="ja-JP" altLang="ja-JP" sz="1100">
              <a:solidFill>
                <a:sysClr val="windowText" lastClr="000000"/>
              </a:solidFill>
              <a:latin typeface="+mn-lt"/>
              <a:ea typeface="+mn-ea"/>
              <a:cs typeface="+mn-cs"/>
            </a:rPr>
            <a:t>換算長が</a:t>
          </a:r>
          <a:r>
            <a:rPr kumimoji="1" lang="en-US" altLang="ja-JP"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０</a:t>
          </a:r>
          <a:r>
            <a:rPr kumimoji="1" lang="en-US" altLang="ja-JP" sz="1100">
              <a:solidFill>
                <a:sysClr val="windowText" lastClr="000000"/>
              </a:solidFill>
              <a:latin typeface="+mn-lt"/>
              <a:ea typeface="+mn-ea"/>
              <a:cs typeface="+mn-cs"/>
            </a:rPr>
            <a:t>"</a:t>
          </a:r>
        </a:p>
        <a:p>
          <a:pPr eaLnBrk="1" fontAlgn="auto" latinLnBrk="0" hangingPunct="1"/>
          <a:r>
            <a:rPr kumimoji="1" lang="ja-JP" altLang="en-US" sz="1100">
              <a:solidFill>
                <a:sysClr val="windowText" lastClr="000000"/>
              </a:solidFill>
              <a:latin typeface="+mn-lt"/>
              <a:ea typeface="+mn-ea"/>
              <a:cs typeface="+mn-cs"/>
            </a:rPr>
            <a:t>　　</a:t>
          </a:r>
          <a:r>
            <a:rPr kumimoji="1" lang="ja-JP" altLang="ja-JP" sz="1100">
              <a:solidFill>
                <a:sysClr val="windowText" lastClr="000000"/>
              </a:solidFill>
              <a:latin typeface="+mn-lt"/>
              <a:ea typeface="+mn-ea"/>
              <a:cs typeface="+mn-cs"/>
            </a:rPr>
            <a:t>のため、数値が表示されない場合があります</a:t>
          </a:r>
          <a:r>
            <a:rPr kumimoji="1" lang="ja-JP" altLang="en-US"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　　　　</a:t>
          </a:r>
          <a:endParaRPr kumimoji="1" lang="ja-JP" altLang="en-US" sz="1100">
            <a:solidFill>
              <a:sysClr val="windowText" lastClr="000000"/>
            </a:solidFill>
            <a:latin typeface="ＭＳ ゴシック" pitchFamily="49" charset="-128"/>
            <a:ea typeface="ＭＳ ゴシック" pitchFamily="49" charset="-128"/>
          </a:endParaRPr>
        </a:p>
      </xdr:txBody>
    </xdr:sp>
    <xdr:clientData fPrintsWithSheet="0"/>
  </xdr:twoCellAnchor>
  <xdr:twoCellAnchor>
    <xdr:from>
      <xdr:col>5</xdr:col>
      <xdr:colOff>0</xdr:colOff>
      <xdr:row>59</xdr:row>
      <xdr:rowOff>0</xdr:rowOff>
    </xdr:from>
    <xdr:to>
      <xdr:col>11</xdr:col>
      <xdr:colOff>888547</xdr:colOff>
      <xdr:row>62</xdr:row>
      <xdr:rowOff>84364</xdr:rowOff>
    </xdr:to>
    <xdr:sp macro="" textlink="">
      <xdr:nvSpPr>
        <xdr:cNvPr id="21" name="横巻き 20"/>
        <xdr:cNvSpPr/>
      </xdr:nvSpPr>
      <xdr:spPr>
        <a:xfrm>
          <a:off x="3429000" y="11315700"/>
          <a:ext cx="3276147" cy="846364"/>
        </a:xfrm>
        <a:prstGeom prst="horizontalScroll">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3600" b="1">
              <a:solidFill>
                <a:schemeClr val="tx1"/>
              </a:solidFill>
            </a:rPr>
            <a:t>計算例</a:t>
          </a:r>
        </a:p>
      </xdr:txBody>
    </xdr:sp>
    <xdr:clientData/>
  </xdr:twoCellAnchor>
  <xdr:twoCellAnchor>
    <xdr:from>
      <xdr:col>11</xdr:col>
      <xdr:colOff>241300</xdr:colOff>
      <xdr:row>109</xdr:row>
      <xdr:rowOff>0</xdr:rowOff>
    </xdr:from>
    <xdr:to>
      <xdr:col>15</xdr:col>
      <xdr:colOff>349718</xdr:colOff>
      <xdr:row>116</xdr:row>
      <xdr:rowOff>166594</xdr:rowOff>
    </xdr:to>
    <xdr:sp macro="" textlink="">
      <xdr:nvSpPr>
        <xdr:cNvPr id="22" name="角丸四角形吹き出し 21"/>
        <xdr:cNvSpPr/>
      </xdr:nvSpPr>
      <xdr:spPr>
        <a:xfrm>
          <a:off x="6057900" y="21602700"/>
          <a:ext cx="3499318" cy="1411194"/>
        </a:xfrm>
        <a:prstGeom prst="wedgeRoundRectCallout">
          <a:avLst>
            <a:gd name="adj1" fmla="val -49157"/>
            <a:gd name="adj2" fmla="val -103709"/>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ＭＳ ゴシック" pitchFamily="49" charset="-128"/>
              <a:ea typeface="ＭＳ ゴシック" pitchFamily="49" charset="-128"/>
            </a:rPr>
            <a:t>4</a:t>
          </a:r>
          <a:r>
            <a:rPr kumimoji="1" lang="ja-JP" altLang="en-US" sz="1100">
              <a:solidFill>
                <a:sysClr val="windowText" lastClr="000000"/>
              </a:solidFill>
              <a:latin typeface="ＭＳ ゴシック" pitchFamily="49" charset="-128"/>
              <a:ea typeface="ＭＳ ゴシック" pitchFamily="49" charset="-128"/>
            </a:rPr>
            <a:t>個以上ヘッドが設置される部屋で、最も放水圧力が低くなるヘッドまでの配管径路を確認します。</a:t>
          </a:r>
          <a:endParaRPr kumimoji="1" lang="en-US" altLang="ja-JP" sz="1100">
            <a:solidFill>
              <a:sysClr val="windowText" lastClr="000000"/>
            </a:solidFill>
            <a:latin typeface="ＭＳ ゴシック" pitchFamily="49" charset="-128"/>
            <a:ea typeface="ＭＳ ゴシック" pitchFamily="49" charset="-128"/>
          </a:endParaRPr>
        </a:p>
        <a:p>
          <a:pPr eaLnBrk="1" fontAlgn="auto" latinLnBrk="0" hangingPunct="1"/>
          <a:r>
            <a:rPr kumimoji="1" lang="ja-JP" altLang="ja-JP" sz="1100">
              <a:solidFill>
                <a:schemeClr val="tx1"/>
              </a:solidFill>
              <a:latin typeface="+mn-lt"/>
              <a:ea typeface="+mn-ea"/>
              <a:cs typeface="+mn-cs"/>
            </a:rPr>
            <a:t>流量および配管条件（呼径、管種）が変わる部分に区画を分けるための番号を指定します。なお、電動弁には上記に係わらず必ず区画分けの番号を指定します。</a:t>
          </a:r>
          <a:endParaRPr lang="ja-JP" altLang="ja-JP">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15</xdr:col>
      <xdr:colOff>502118</xdr:colOff>
      <xdr:row>109</xdr:row>
      <xdr:rowOff>0</xdr:rowOff>
    </xdr:from>
    <xdr:to>
      <xdr:col>20</xdr:col>
      <xdr:colOff>735948</xdr:colOff>
      <xdr:row>116</xdr:row>
      <xdr:rowOff>155388</xdr:rowOff>
    </xdr:to>
    <xdr:sp macro="" textlink="">
      <xdr:nvSpPr>
        <xdr:cNvPr id="23" name="角丸四角形吹き出し 22"/>
        <xdr:cNvSpPr/>
      </xdr:nvSpPr>
      <xdr:spPr>
        <a:xfrm>
          <a:off x="9709618" y="21602700"/>
          <a:ext cx="3688230" cy="1399988"/>
        </a:xfrm>
        <a:prstGeom prst="wedgeRoundRectCallout">
          <a:avLst>
            <a:gd name="adj1" fmla="val -10540"/>
            <a:gd name="adj2" fmla="val -102086"/>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配管長、継ぎ手の数量を正確に抽出するため、配管径路図（平面図）をからアイソメ図を作図します。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線分の長さは正確である必要がありません。全体の配管径路が表示されるように</a:t>
          </a:r>
          <a:r>
            <a:rPr kumimoji="1" lang="ja-JP" altLang="ja-JP" sz="1100">
              <a:solidFill>
                <a:sysClr val="windowText" lastClr="000000"/>
              </a:solidFill>
              <a:latin typeface="+mn-lt"/>
              <a:ea typeface="+mn-ea"/>
              <a:cs typeface="+mn-cs"/>
            </a:rPr>
            <a:t>バランス良く</a:t>
          </a:r>
          <a:r>
            <a:rPr kumimoji="1" lang="ja-JP" altLang="en-US" sz="1100">
              <a:solidFill>
                <a:sysClr val="windowText" lastClr="000000"/>
              </a:solidFill>
              <a:latin typeface="+mn-lt"/>
              <a:ea typeface="+mn-ea"/>
              <a:cs typeface="+mn-cs"/>
            </a:rPr>
            <a:t>作図</a:t>
          </a:r>
          <a:r>
            <a:rPr kumimoji="1" lang="ja-JP" altLang="en-US" sz="1100">
              <a:solidFill>
                <a:sysClr val="windowText" lastClr="000000"/>
              </a:solidFill>
              <a:latin typeface="ＭＳ ゴシック" pitchFamily="49" charset="-128"/>
              <a:ea typeface="ＭＳ ゴシック" pitchFamily="49" charset="-128"/>
            </a:rPr>
            <a:t>します。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latin typeface="+mn-lt"/>
              <a:ea typeface="+mn-ea"/>
              <a:cs typeface="+mn-cs"/>
            </a:rPr>
            <a:t>直流のチーズ（Ｔ直）も忘れずに作図します。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21</xdr:col>
      <xdr:colOff>52388</xdr:colOff>
      <xdr:row>109</xdr:row>
      <xdr:rowOff>0</xdr:rowOff>
    </xdr:from>
    <xdr:to>
      <xdr:col>27</xdr:col>
      <xdr:colOff>735948</xdr:colOff>
      <xdr:row>116</xdr:row>
      <xdr:rowOff>155388</xdr:rowOff>
    </xdr:to>
    <xdr:sp macro="" textlink="">
      <xdr:nvSpPr>
        <xdr:cNvPr id="24" name="角丸四角形吹き出し 23"/>
        <xdr:cNvSpPr/>
      </xdr:nvSpPr>
      <xdr:spPr>
        <a:xfrm>
          <a:off x="13831888" y="21602700"/>
          <a:ext cx="4252260" cy="1399988"/>
        </a:xfrm>
        <a:prstGeom prst="wedgeRoundRectCallout">
          <a:avLst>
            <a:gd name="adj1" fmla="val -10839"/>
            <a:gd name="adj2" fmla="val -102086"/>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アイソメ図より区画毎の配管長さ、継ぎ手の数量を抽出し、一覧表にします。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区画境の継手等は、</a:t>
          </a:r>
          <a:r>
            <a:rPr kumimoji="1" lang="en-US" altLang="ja-JP" sz="1100">
              <a:solidFill>
                <a:sysClr val="windowText" lastClr="000000"/>
              </a:solidFill>
              <a:latin typeface="ＭＳ ゴシック" pitchFamily="49" charset="-128"/>
              <a:ea typeface="ＭＳ ゴシック" pitchFamily="49" charset="-128"/>
            </a:rPr>
            <a:t>2</a:t>
          </a:r>
          <a:r>
            <a:rPr kumimoji="1" lang="ja-JP" altLang="en-US" sz="1100">
              <a:solidFill>
                <a:sysClr val="windowText" lastClr="000000"/>
              </a:solidFill>
              <a:latin typeface="ＭＳ ゴシック" pitchFamily="49" charset="-128"/>
              <a:ea typeface="ＭＳ ゴシック" pitchFamily="49" charset="-128"/>
            </a:rPr>
            <a:t>次側（末端ヘッド側）の区画に含みます。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（アイソメ図例の②にある継手は、区画①－②に含みます。）</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8</xdr:col>
      <xdr:colOff>63500</xdr:colOff>
      <xdr:row>102</xdr:row>
      <xdr:rowOff>88900</xdr:rowOff>
    </xdr:from>
    <xdr:to>
      <xdr:col>27</xdr:col>
      <xdr:colOff>226787</xdr:colOff>
      <xdr:row>104</xdr:row>
      <xdr:rowOff>149679</xdr:rowOff>
    </xdr:to>
    <xdr:sp macro="" textlink="">
      <xdr:nvSpPr>
        <xdr:cNvPr id="28" name="正方形/長方形 27"/>
        <xdr:cNvSpPr/>
      </xdr:nvSpPr>
      <xdr:spPr>
        <a:xfrm>
          <a:off x="4533900" y="20332700"/>
          <a:ext cx="13041087" cy="4925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390073</xdr:colOff>
      <xdr:row>103</xdr:row>
      <xdr:rowOff>23587</xdr:rowOff>
    </xdr:from>
    <xdr:to>
      <xdr:col>11</xdr:col>
      <xdr:colOff>784680</xdr:colOff>
      <xdr:row>104</xdr:row>
      <xdr:rowOff>80738</xdr:rowOff>
    </xdr:to>
    <xdr:sp macro="" textlink="">
      <xdr:nvSpPr>
        <xdr:cNvPr id="29" name="テキスト ボックス 28"/>
        <xdr:cNvSpPr txBox="1"/>
      </xdr:nvSpPr>
      <xdr:spPr>
        <a:xfrm>
          <a:off x="5457373" y="20483287"/>
          <a:ext cx="1143907" cy="27305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平面図例</a:t>
          </a:r>
        </a:p>
      </xdr:txBody>
    </xdr:sp>
    <xdr:clientData/>
  </xdr:twoCellAnchor>
  <xdr:twoCellAnchor>
    <xdr:from>
      <xdr:col>16</xdr:col>
      <xdr:colOff>566965</xdr:colOff>
      <xdr:row>103</xdr:row>
      <xdr:rowOff>23587</xdr:rowOff>
    </xdr:from>
    <xdr:to>
      <xdr:col>18</xdr:col>
      <xdr:colOff>566966</xdr:colOff>
      <xdr:row>104</xdr:row>
      <xdr:rowOff>94344</xdr:rowOff>
    </xdr:to>
    <xdr:sp macro="" textlink="">
      <xdr:nvSpPr>
        <xdr:cNvPr id="30" name="テキスト ボックス 29"/>
        <xdr:cNvSpPr txBox="1"/>
      </xdr:nvSpPr>
      <xdr:spPr>
        <a:xfrm>
          <a:off x="10282465" y="20483287"/>
          <a:ext cx="1473201" cy="28665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アイソメ図例</a:t>
          </a:r>
        </a:p>
      </xdr:txBody>
    </xdr:sp>
    <xdr:clientData/>
  </xdr:twoCellAnchor>
  <xdr:twoCellAnchor>
    <xdr:from>
      <xdr:col>23</xdr:col>
      <xdr:colOff>90715</xdr:colOff>
      <xdr:row>103</xdr:row>
      <xdr:rowOff>9981</xdr:rowOff>
    </xdr:from>
    <xdr:to>
      <xdr:col>25</xdr:col>
      <xdr:colOff>716642</xdr:colOff>
      <xdr:row>104</xdr:row>
      <xdr:rowOff>80738</xdr:rowOff>
    </xdr:to>
    <xdr:sp macro="" textlink="">
      <xdr:nvSpPr>
        <xdr:cNvPr id="31" name="テキスト ボックス 30"/>
        <xdr:cNvSpPr txBox="1"/>
      </xdr:nvSpPr>
      <xdr:spPr>
        <a:xfrm>
          <a:off x="15038615" y="20469681"/>
          <a:ext cx="2099127" cy="28665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計算データの抽出例</a:t>
          </a:r>
        </a:p>
      </xdr:txBody>
    </xdr:sp>
    <xdr:clientData/>
  </xdr:twoCellAnchor>
  <xdr:twoCellAnchor>
    <xdr:from>
      <xdr:col>13</xdr:col>
      <xdr:colOff>117929</xdr:colOff>
      <xdr:row>102</xdr:row>
      <xdr:rowOff>198666</xdr:rowOff>
    </xdr:from>
    <xdr:to>
      <xdr:col>15</xdr:col>
      <xdr:colOff>104322</xdr:colOff>
      <xdr:row>104</xdr:row>
      <xdr:rowOff>149680</xdr:rowOff>
    </xdr:to>
    <xdr:sp macro="" textlink="">
      <xdr:nvSpPr>
        <xdr:cNvPr id="32" name="右矢印 31"/>
        <xdr:cNvSpPr/>
      </xdr:nvSpPr>
      <xdr:spPr>
        <a:xfrm>
          <a:off x="7864929" y="20442466"/>
          <a:ext cx="1446893" cy="38281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77108</xdr:colOff>
      <xdr:row>102</xdr:row>
      <xdr:rowOff>198666</xdr:rowOff>
    </xdr:from>
    <xdr:to>
      <xdr:col>21</xdr:col>
      <xdr:colOff>403679</xdr:colOff>
      <xdr:row>104</xdr:row>
      <xdr:rowOff>149680</xdr:rowOff>
    </xdr:to>
    <xdr:sp macro="" textlink="">
      <xdr:nvSpPr>
        <xdr:cNvPr id="33" name="右矢印 32"/>
        <xdr:cNvSpPr/>
      </xdr:nvSpPr>
      <xdr:spPr>
        <a:xfrm>
          <a:off x="12739008" y="20442466"/>
          <a:ext cx="1444171" cy="38281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744338</xdr:colOff>
      <xdr:row>76</xdr:row>
      <xdr:rowOff>127000</xdr:rowOff>
    </xdr:from>
    <xdr:to>
      <xdr:col>24</xdr:col>
      <xdr:colOff>417765</xdr:colOff>
      <xdr:row>87</xdr:row>
      <xdr:rowOff>138472</xdr:rowOff>
    </xdr:to>
    <xdr:sp macro="" textlink="">
      <xdr:nvSpPr>
        <xdr:cNvPr id="34" name="上矢印 33"/>
        <xdr:cNvSpPr/>
      </xdr:nvSpPr>
      <xdr:spPr>
        <a:xfrm>
          <a:off x="15692238" y="15176500"/>
          <a:ext cx="486227" cy="1967272"/>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1244600</xdr:colOff>
      <xdr:row>72</xdr:row>
      <xdr:rowOff>88900</xdr:rowOff>
    </xdr:from>
    <xdr:to>
      <xdr:col>13</xdr:col>
      <xdr:colOff>202453</xdr:colOff>
      <xdr:row>87</xdr:row>
      <xdr:rowOff>100852</xdr:rowOff>
    </xdr:to>
    <xdr:sp macro="" textlink="">
      <xdr:nvSpPr>
        <xdr:cNvPr id="36" name="円/楕円 35"/>
        <xdr:cNvSpPr/>
      </xdr:nvSpPr>
      <xdr:spPr>
        <a:xfrm>
          <a:off x="7061200" y="14427200"/>
          <a:ext cx="888253" cy="2678952"/>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112807</xdr:colOff>
      <xdr:row>71</xdr:row>
      <xdr:rowOff>241300</xdr:rowOff>
    </xdr:from>
    <xdr:to>
      <xdr:col>16</xdr:col>
      <xdr:colOff>146425</xdr:colOff>
      <xdr:row>87</xdr:row>
      <xdr:rowOff>100853</xdr:rowOff>
    </xdr:to>
    <xdr:sp macro="" textlink="">
      <xdr:nvSpPr>
        <xdr:cNvPr id="37" name="円/楕円 36"/>
        <xdr:cNvSpPr/>
      </xdr:nvSpPr>
      <xdr:spPr>
        <a:xfrm>
          <a:off x="9320307" y="14325600"/>
          <a:ext cx="541618" cy="278055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729129</xdr:colOff>
      <xdr:row>76</xdr:row>
      <xdr:rowOff>177799</xdr:rowOff>
    </xdr:from>
    <xdr:to>
      <xdr:col>20</xdr:col>
      <xdr:colOff>561042</xdr:colOff>
      <xdr:row>87</xdr:row>
      <xdr:rowOff>89647</xdr:rowOff>
    </xdr:to>
    <xdr:sp macro="" textlink="">
      <xdr:nvSpPr>
        <xdr:cNvPr id="38" name="円/楕円 37"/>
        <xdr:cNvSpPr/>
      </xdr:nvSpPr>
      <xdr:spPr>
        <a:xfrm>
          <a:off x="12578229" y="15227299"/>
          <a:ext cx="644713" cy="186764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34364</xdr:colOff>
      <xdr:row>76</xdr:row>
      <xdr:rowOff>177799</xdr:rowOff>
    </xdr:from>
    <xdr:to>
      <xdr:col>22</xdr:col>
      <xdr:colOff>168836</xdr:colOff>
      <xdr:row>87</xdr:row>
      <xdr:rowOff>89647</xdr:rowOff>
    </xdr:to>
    <xdr:sp macro="" textlink="">
      <xdr:nvSpPr>
        <xdr:cNvPr id="39" name="円/楕円 38"/>
        <xdr:cNvSpPr/>
      </xdr:nvSpPr>
      <xdr:spPr>
        <a:xfrm>
          <a:off x="13813864" y="15227299"/>
          <a:ext cx="642472" cy="186764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146424</xdr:colOff>
      <xdr:row>73</xdr:row>
      <xdr:rowOff>152400</xdr:rowOff>
    </xdr:from>
    <xdr:to>
      <xdr:col>22</xdr:col>
      <xdr:colOff>177800</xdr:colOff>
      <xdr:row>78</xdr:row>
      <xdr:rowOff>22411</xdr:rowOff>
    </xdr:to>
    <xdr:cxnSp macro="">
      <xdr:nvCxnSpPr>
        <xdr:cNvPr id="40" name="直線矢印コネクタ 39"/>
        <xdr:cNvCxnSpPr/>
      </xdr:nvCxnSpPr>
      <xdr:spPr>
        <a:xfrm flipH="1">
          <a:off x="7893424" y="14668500"/>
          <a:ext cx="6571876" cy="759011"/>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151252</xdr:colOff>
      <xdr:row>73</xdr:row>
      <xdr:rowOff>165100</xdr:rowOff>
    </xdr:from>
    <xdr:to>
      <xdr:col>22</xdr:col>
      <xdr:colOff>139700</xdr:colOff>
      <xdr:row>79</xdr:row>
      <xdr:rowOff>172835</xdr:rowOff>
    </xdr:to>
    <xdr:cxnSp macro="">
      <xdr:nvCxnSpPr>
        <xdr:cNvPr id="41" name="直線矢印コネクタ 40"/>
        <xdr:cNvCxnSpPr/>
      </xdr:nvCxnSpPr>
      <xdr:spPr>
        <a:xfrm flipH="1">
          <a:off x="9866752" y="14681200"/>
          <a:ext cx="4560448" cy="1074535"/>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509840</xdr:colOff>
      <xdr:row>73</xdr:row>
      <xdr:rowOff>152400</xdr:rowOff>
    </xdr:from>
    <xdr:to>
      <xdr:col>22</xdr:col>
      <xdr:colOff>165100</xdr:colOff>
      <xdr:row>79</xdr:row>
      <xdr:rowOff>95888</xdr:rowOff>
    </xdr:to>
    <xdr:cxnSp macro="">
      <xdr:nvCxnSpPr>
        <xdr:cNvPr id="42" name="直線矢印コネクタ 41"/>
        <xdr:cNvCxnSpPr/>
      </xdr:nvCxnSpPr>
      <xdr:spPr>
        <a:xfrm flipH="1">
          <a:off x="13171740" y="14668500"/>
          <a:ext cx="1280860" cy="1010288"/>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457200</xdr:colOff>
      <xdr:row>73</xdr:row>
      <xdr:rowOff>127000</xdr:rowOff>
    </xdr:from>
    <xdr:to>
      <xdr:col>22</xdr:col>
      <xdr:colOff>165100</xdr:colOff>
      <xdr:row>77</xdr:row>
      <xdr:rowOff>63500</xdr:rowOff>
    </xdr:to>
    <xdr:cxnSp macro="">
      <xdr:nvCxnSpPr>
        <xdr:cNvPr id="43" name="直線矢印コネクタ 42"/>
        <xdr:cNvCxnSpPr/>
      </xdr:nvCxnSpPr>
      <xdr:spPr>
        <a:xfrm flipH="1">
          <a:off x="14236700" y="14643100"/>
          <a:ext cx="215900" cy="647700"/>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12700</xdr:colOff>
      <xdr:row>88</xdr:row>
      <xdr:rowOff>50800</xdr:rowOff>
    </xdr:from>
    <xdr:to>
      <xdr:col>8</xdr:col>
      <xdr:colOff>63500</xdr:colOff>
      <xdr:row>104</xdr:row>
      <xdr:rowOff>165100</xdr:rowOff>
    </xdr:to>
    <xdr:sp macro="" textlink="">
      <xdr:nvSpPr>
        <xdr:cNvPr id="44" name="縦巻き 43"/>
        <xdr:cNvSpPr/>
      </xdr:nvSpPr>
      <xdr:spPr>
        <a:xfrm>
          <a:off x="3721100" y="17272000"/>
          <a:ext cx="812800" cy="3568700"/>
        </a:xfrm>
        <a:prstGeom prst="verticalScroll">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kumimoji="1" lang="ja-JP" altLang="en-US" sz="2000">
              <a:solidFill>
                <a:schemeClr val="tx1"/>
              </a:solidFill>
            </a:rPr>
            <a:t>計算書作成の手順</a:t>
          </a:r>
        </a:p>
      </xdr:txBody>
    </xdr:sp>
    <xdr:clientData/>
  </xdr:twoCellAnchor>
  <xdr:twoCellAnchor>
    <xdr:from>
      <xdr:col>11</xdr:col>
      <xdr:colOff>241300</xdr:colOff>
      <xdr:row>109</xdr:row>
      <xdr:rowOff>0</xdr:rowOff>
    </xdr:from>
    <xdr:to>
      <xdr:col>15</xdr:col>
      <xdr:colOff>349718</xdr:colOff>
      <xdr:row>116</xdr:row>
      <xdr:rowOff>166594</xdr:rowOff>
    </xdr:to>
    <xdr:sp macro="" textlink="">
      <xdr:nvSpPr>
        <xdr:cNvPr id="45" name="角丸四角形吹き出し 44"/>
        <xdr:cNvSpPr/>
      </xdr:nvSpPr>
      <xdr:spPr>
        <a:xfrm>
          <a:off x="6051550" y="21736050"/>
          <a:ext cx="3489793" cy="1433419"/>
        </a:xfrm>
        <a:prstGeom prst="wedgeRoundRectCallout">
          <a:avLst>
            <a:gd name="adj1" fmla="val -49157"/>
            <a:gd name="adj2" fmla="val -103709"/>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latin typeface="ＭＳ ゴシック" pitchFamily="49" charset="-128"/>
              <a:ea typeface="ＭＳ ゴシック" pitchFamily="49" charset="-128"/>
            </a:rPr>
            <a:t>4</a:t>
          </a:r>
          <a:r>
            <a:rPr kumimoji="1" lang="ja-JP" altLang="en-US" sz="1000">
              <a:solidFill>
                <a:sysClr val="windowText" lastClr="000000"/>
              </a:solidFill>
              <a:latin typeface="ＭＳ ゴシック" pitchFamily="49" charset="-128"/>
              <a:ea typeface="ＭＳ ゴシック" pitchFamily="49" charset="-128"/>
            </a:rPr>
            <a:t>個以上ヘッドが設置される部屋で、最も放水圧力が低くなるヘッドまでの配管径路を確認します。</a:t>
          </a:r>
          <a:endParaRPr kumimoji="1" lang="en-US" altLang="ja-JP" sz="1000">
            <a:solidFill>
              <a:sysClr val="windowText" lastClr="000000"/>
            </a:solidFill>
            <a:latin typeface="ＭＳ ゴシック" pitchFamily="49" charset="-128"/>
            <a:ea typeface="ＭＳ ゴシック" pitchFamily="49" charset="-128"/>
          </a:endParaRPr>
        </a:p>
        <a:p>
          <a:pPr eaLnBrk="1" fontAlgn="auto" latinLnBrk="0" hangingPunct="1"/>
          <a:r>
            <a:rPr kumimoji="1" lang="ja-JP" altLang="ja-JP" sz="1000">
              <a:solidFill>
                <a:schemeClr val="tx1"/>
              </a:solidFill>
              <a:latin typeface="+mn-lt"/>
              <a:ea typeface="+mn-ea"/>
              <a:cs typeface="+mn-cs"/>
            </a:rPr>
            <a:t>流量および配管条件（呼径、管種）が変わる部分に</a:t>
          </a:r>
          <a:r>
            <a:rPr kumimoji="1" lang="ja-JP" altLang="en-US" sz="1000">
              <a:solidFill>
                <a:schemeClr val="tx1"/>
              </a:solidFill>
              <a:latin typeface="+mn-lt"/>
              <a:ea typeface="+mn-ea"/>
              <a:cs typeface="+mn-cs"/>
            </a:rPr>
            <a:t>区間</a:t>
          </a:r>
          <a:r>
            <a:rPr kumimoji="1" lang="ja-JP" altLang="ja-JP" sz="1000">
              <a:solidFill>
                <a:schemeClr val="tx1"/>
              </a:solidFill>
              <a:latin typeface="+mn-lt"/>
              <a:ea typeface="+mn-ea"/>
              <a:cs typeface="+mn-cs"/>
            </a:rPr>
            <a:t>を分けるための番号を指定します。なお、電動弁には上記に係わらず必ず</a:t>
          </a:r>
          <a:r>
            <a:rPr kumimoji="1" lang="ja-JP" altLang="en-US" sz="1000">
              <a:solidFill>
                <a:schemeClr val="tx1"/>
              </a:solidFill>
              <a:latin typeface="+mn-lt"/>
              <a:ea typeface="+mn-ea"/>
              <a:cs typeface="+mn-cs"/>
            </a:rPr>
            <a:t>区間</a:t>
          </a:r>
          <a:r>
            <a:rPr kumimoji="1" lang="ja-JP" altLang="ja-JP" sz="1000">
              <a:solidFill>
                <a:schemeClr val="tx1"/>
              </a:solidFill>
              <a:latin typeface="+mn-lt"/>
              <a:ea typeface="+mn-ea"/>
              <a:cs typeface="+mn-cs"/>
            </a:rPr>
            <a:t>分けの番号を指定します。</a:t>
          </a:r>
          <a:endParaRPr lang="ja-JP" altLang="ja-JP" sz="1000">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15</xdr:col>
      <xdr:colOff>502118</xdr:colOff>
      <xdr:row>109</xdr:row>
      <xdr:rowOff>0</xdr:rowOff>
    </xdr:from>
    <xdr:to>
      <xdr:col>20</xdr:col>
      <xdr:colOff>735948</xdr:colOff>
      <xdr:row>116</xdr:row>
      <xdr:rowOff>155388</xdr:rowOff>
    </xdr:to>
    <xdr:sp macro="" textlink="">
      <xdr:nvSpPr>
        <xdr:cNvPr id="46" name="角丸四角形吹き出し 45"/>
        <xdr:cNvSpPr/>
      </xdr:nvSpPr>
      <xdr:spPr>
        <a:xfrm>
          <a:off x="9693743" y="21736050"/>
          <a:ext cx="3672355" cy="1422213"/>
        </a:xfrm>
        <a:prstGeom prst="wedgeRoundRectCallout">
          <a:avLst>
            <a:gd name="adj1" fmla="val -10540"/>
            <a:gd name="adj2" fmla="val -102086"/>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配管長、継ぎ手の数量を正確に抽出するため、配管径路図（平面図）をからアイソメ図を作図します。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線分の長さは正確である必要がありません。全体の配管径路が表示されるように</a:t>
          </a:r>
          <a:r>
            <a:rPr kumimoji="1" lang="ja-JP" altLang="ja-JP" sz="1000">
              <a:solidFill>
                <a:sysClr val="windowText" lastClr="000000"/>
              </a:solidFill>
              <a:latin typeface="+mn-lt"/>
              <a:ea typeface="+mn-ea"/>
              <a:cs typeface="+mn-cs"/>
            </a:rPr>
            <a:t>バランス良く</a:t>
          </a:r>
          <a:r>
            <a:rPr kumimoji="1" lang="ja-JP" altLang="en-US" sz="1000">
              <a:solidFill>
                <a:sysClr val="windowText" lastClr="000000"/>
              </a:solidFill>
              <a:latin typeface="+mn-lt"/>
              <a:ea typeface="+mn-ea"/>
              <a:cs typeface="+mn-cs"/>
            </a:rPr>
            <a:t>作図</a:t>
          </a:r>
          <a:r>
            <a:rPr kumimoji="1" lang="ja-JP" altLang="en-US" sz="1000">
              <a:solidFill>
                <a:sysClr val="windowText" lastClr="000000"/>
              </a:solidFill>
              <a:latin typeface="ＭＳ ゴシック" pitchFamily="49" charset="-128"/>
              <a:ea typeface="ＭＳ ゴシック" pitchFamily="49" charset="-128"/>
            </a:rPr>
            <a:t>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latin typeface="+mn-lt"/>
              <a:ea typeface="+mn-ea"/>
              <a:cs typeface="+mn-cs"/>
            </a:rPr>
            <a:t>直流のチーズ（Ｔ直）も忘れずに作図します。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21</xdr:col>
      <xdr:colOff>52388</xdr:colOff>
      <xdr:row>109</xdr:row>
      <xdr:rowOff>0</xdr:rowOff>
    </xdr:from>
    <xdr:to>
      <xdr:col>27</xdr:col>
      <xdr:colOff>735948</xdr:colOff>
      <xdr:row>116</xdr:row>
      <xdr:rowOff>155388</xdr:rowOff>
    </xdr:to>
    <xdr:sp macro="" textlink="">
      <xdr:nvSpPr>
        <xdr:cNvPr id="47" name="角丸四角形吹き出し 46"/>
        <xdr:cNvSpPr/>
      </xdr:nvSpPr>
      <xdr:spPr>
        <a:xfrm>
          <a:off x="13796963" y="21736050"/>
          <a:ext cx="4236385" cy="1422213"/>
        </a:xfrm>
        <a:prstGeom prst="wedgeRoundRectCallout">
          <a:avLst>
            <a:gd name="adj1" fmla="val -10839"/>
            <a:gd name="adj2" fmla="val -102086"/>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アイソメ図より区間毎の配管長さ、継ぎ手の数量を抽出し、一覧表にします。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区間境の継手等は、</a:t>
          </a:r>
          <a:r>
            <a:rPr kumimoji="1" lang="en-US" altLang="ja-JP" sz="1000">
              <a:solidFill>
                <a:sysClr val="windowText" lastClr="000000"/>
              </a:solidFill>
              <a:latin typeface="ＭＳ ゴシック" pitchFamily="49" charset="-128"/>
              <a:ea typeface="ＭＳ ゴシック" pitchFamily="49" charset="-128"/>
            </a:rPr>
            <a:t>2</a:t>
          </a:r>
          <a:r>
            <a:rPr kumimoji="1" lang="ja-JP" altLang="en-US" sz="1000">
              <a:solidFill>
                <a:sysClr val="windowText" lastClr="000000"/>
              </a:solidFill>
              <a:latin typeface="ＭＳ ゴシック" pitchFamily="49" charset="-128"/>
              <a:ea typeface="ＭＳ ゴシック" pitchFamily="49" charset="-128"/>
            </a:rPr>
            <a:t>次側（末端ヘッド側）の区間に含みます。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itchFamily="49" charset="-128"/>
              <a:ea typeface="ＭＳ ゴシック" pitchFamily="49" charset="-128"/>
            </a:rPr>
            <a:t>（アイソメ図例の②にある継手は、区間①－②に含みます。）</a:t>
          </a:r>
          <a:endParaRPr kumimoji="1" lang="en-US" altLang="ja-JP" sz="10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solidFill>
              <a:sysClr val="windowText" lastClr="000000"/>
            </a:solidFill>
            <a:latin typeface="ＭＳ ゴシック" pitchFamily="49" charset="-128"/>
            <a:ea typeface="ＭＳ ゴシック" pitchFamily="49" charset="-128"/>
          </a:endParaRPr>
        </a:p>
      </xdr:txBody>
    </xdr:sp>
    <xdr:clientData/>
  </xdr:twoCellAnchor>
  <xdr:twoCellAnchor>
    <xdr:from>
      <xdr:col>8</xdr:col>
      <xdr:colOff>63500</xdr:colOff>
      <xdr:row>102</xdr:row>
      <xdr:rowOff>88900</xdr:rowOff>
    </xdr:from>
    <xdr:to>
      <xdr:col>27</xdr:col>
      <xdr:colOff>226787</xdr:colOff>
      <xdr:row>104</xdr:row>
      <xdr:rowOff>149679</xdr:rowOff>
    </xdr:to>
    <xdr:sp macro="" textlink="">
      <xdr:nvSpPr>
        <xdr:cNvPr id="48" name="正方形/長方形 47"/>
        <xdr:cNvSpPr/>
      </xdr:nvSpPr>
      <xdr:spPr>
        <a:xfrm>
          <a:off x="4530725" y="20443825"/>
          <a:ext cx="12993462" cy="4989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390073</xdr:colOff>
      <xdr:row>103</xdr:row>
      <xdr:rowOff>23587</xdr:rowOff>
    </xdr:from>
    <xdr:to>
      <xdr:col>11</xdr:col>
      <xdr:colOff>784680</xdr:colOff>
      <xdr:row>104</xdr:row>
      <xdr:rowOff>80738</xdr:rowOff>
    </xdr:to>
    <xdr:sp macro="" textlink="">
      <xdr:nvSpPr>
        <xdr:cNvPr id="49" name="テキスト ボックス 48"/>
        <xdr:cNvSpPr txBox="1"/>
      </xdr:nvSpPr>
      <xdr:spPr>
        <a:xfrm>
          <a:off x="5457373" y="20597587"/>
          <a:ext cx="1137557" cy="27622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平面図例</a:t>
          </a:r>
        </a:p>
      </xdr:txBody>
    </xdr:sp>
    <xdr:clientData/>
  </xdr:twoCellAnchor>
  <xdr:twoCellAnchor>
    <xdr:from>
      <xdr:col>16</xdr:col>
      <xdr:colOff>566965</xdr:colOff>
      <xdr:row>103</xdr:row>
      <xdr:rowOff>23587</xdr:rowOff>
    </xdr:from>
    <xdr:to>
      <xdr:col>18</xdr:col>
      <xdr:colOff>566966</xdr:colOff>
      <xdr:row>104</xdr:row>
      <xdr:rowOff>94344</xdr:rowOff>
    </xdr:to>
    <xdr:sp macro="" textlink="">
      <xdr:nvSpPr>
        <xdr:cNvPr id="50" name="テキスト ボックス 49"/>
        <xdr:cNvSpPr txBox="1"/>
      </xdr:nvSpPr>
      <xdr:spPr>
        <a:xfrm>
          <a:off x="10263415" y="20597587"/>
          <a:ext cx="1466851" cy="28983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アイソメ図例</a:t>
          </a:r>
        </a:p>
      </xdr:txBody>
    </xdr:sp>
    <xdr:clientData/>
  </xdr:twoCellAnchor>
  <xdr:twoCellAnchor>
    <xdr:from>
      <xdr:col>23</xdr:col>
      <xdr:colOff>90715</xdr:colOff>
      <xdr:row>103</xdr:row>
      <xdr:rowOff>9981</xdr:rowOff>
    </xdr:from>
    <xdr:to>
      <xdr:col>25</xdr:col>
      <xdr:colOff>716642</xdr:colOff>
      <xdr:row>104</xdr:row>
      <xdr:rowOff>80738</xdr:rowOff>
    </xdr:to>
    <xdr:sp macro="" textlink="">
      <xdr:nvSpPr>
        <xdr:cNvPr id="51" name="テキスト ボックス 50"/>
        <xdr:cNvSpPr txBox="1"/>
      </xdr:nvSpPr>
      <xdr:spPr>
        <a:xfrm>
          <a:off x="14997340" y="20583981"/>
          <a:ext cx="2092777" cy="28983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t>計算データの抽出例</a:t>
          </a:r>
        </a:p>
      </xdr:txBody>
    </xdr:sp>
    <xdr:clientData/>
  </xdr:twoCellAnchor>
  <xdr:twoCellAnchor>
    <xdr:from>
      <xdr:col>13</xdr:col>
      <xdr:colOff>117929</xdr:colOff>
      <xdr:row>102</xdr:row>
      <xdr:rowOff>198666</xdr:rowOff>
    </xdr:from>
    <xdr:to>
      <xdr:col>15</xdr:col>
      <xdr:colOff>104322</xdr:colOff>
      <xdr:row>104</xdr:row>
      <xdr:rowOff>149680</xdr:rowOff>
    </xdr:to>
    <xdr:sp macro="" textlink="">
      <xdr:nvSpPr>
        <xdr:cNvPr id="52" name="右矢印 51"/>
        <xdr:cNvSpPr/>
      </xdr:nvSpPr>
      <xdr:spPr>
        <a:xfrm>
          <a:off x="7852229" y="20553591"/>
          <a:ext cx="1443718" cy="38916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77108</xdr:colOff>
      <xdr:row>102</xdr:row>
      <xdr:rowOff>198666</xdr:rowOff>
    </xdr:from>
    <xdr:to>
      <xdr:col>21</xdr:col>
      <xdr:colOff>403679</xdr:colOff>
      <xdr:row>104</xdr:row>
      <xdr:rowOff>149680</xdr:rowOff>
    </xdr:to>
    <xdr:sp macro="" textlink="">
      <xdr:nvSpPr>
        <xdr:cNvPr id="53" name="右矢印 52"/>
        <xdr:cNvSpPr/>
      </xdr:nvSpPr>
      <xdr:spPr>
        <a:xfrm>
          <a:off x="12707258" y="20553591"/>
          <a:ext cx="1440996" cy="38916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23</xdr:col>
      <xdr:colOff>744338</xdr:colOff>
      <xdr:row>76</xdr:row>
      <xdr:rowOff>127000</xdr:rowOff>
    </xdr:from>
    <xdr:to>
      <xdr:col>24</xdr:col>
      <xdr:colOff>417765</xdr:colOff>
      <xdr:row>87</xdr:row>
      <xdr:rowOff>138472</xdr:rowOff>
    </xdr:to>
    <xdr:sp macro="" textlink="">
      <xdr:nvSpPr>
        <xdr:cNvPr id="54" name="上矢印 53"/>
        <xdr:cNvSpPr/>
      </xdr:nvSpPr>
      <xdr:spPr>
        <a:xfrm>
          <a:off x="15650963" y="15205075"/>
          <a:ext cx="483052" cy="200219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22</xdr:col>
      <xdr:colOff>164220</xdr:colOff>
      <xdr:row>72</xdr:row>
      <xdr:rowOff>63633</xdr:rowOff>
    </xdr:from>
    <xdr:to>
      <xdr:col>25</xdr:col>
      <xdr:colOff>790148</xdr:colOff>
      <xdr:row>76</xdr:row>
      <xdr:rowOff>50025</xdr:rowOff>
    </xdr:to>
    <xdr:sp macro="" textlink="">
      <xdr:nvSpPr>
        <xdr:cNvPr id="55" name="角丸四角形吹き出し 54"/>
        <xdr:cNvSpPr/>
      </xdr:nvSpPr>
      <xdr:spPr>
        <a:xfrm>
          <a:off x="14413620" y="14417808"/>
          <a:ext cx="2750003" cy="710292"/>
        </a:xfrm>
        <a:prstGeom prst="wedgeRoundRectCallout">
          <a:avLst>
            <a:gd name="adj1" fmla="val -11333"/>
            <a:gd name="adj2" fmla="val -20160"/>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ＭＳ ゴシック" pitchFamily="49" charset="-128"/>
              <a:ea typeface="ＭＳ ゴシック" pitchFamily="49" charset="-128"/>
            </a:rPr>
            <a:t>抽出したデータを、青色のセルに入力し反映させます。</a:t>
          </a:r>
        </a:p>
      </xdr:txBody>
    </xdr:sp>
    <xdr:clientData/>
  </xdr:twoCellAnchor>
  <xdr:twoCellAnchor>
    <xdr:from>
      <xdr:col>11</xdr:col>
      <xdr:colOff>1244600</xdr:colOff>
      <xdr:row>72</xdr:row>
      <xdr:rowOff>88900</xdr:rowOff>
    </xdr:from>
    <xdr:to>
      <xdr:col>13</xdr:col>
      <xdr:colOff>202453</xdr:colOff>
      <xdr:row>87</xdr:row>
      <xdr:rowOff>100852</xdr:rowOff>
    </xdr:to>
    <xdr:sp macro="" textlink="">
      <xdr:nvSpPr>
        <xdr:cNvPr id="56" name="円/楕円 55"/>
        <xdr:cNvSpPr/>
      </xdr:nvSpPr>
      <xdr:spPr>
        <a:xfrm>
          <a:off x="7054850" y="14443075"/>
          <a:ext cx="881903" cy="2726577"/>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112807</xdr:colOff>
      <xdr:row>71</xdr:row>
      <xdr:rowOff>241300</xdr:rowOff>
    </xdr:from>
    <xdr:to>
      <xdr:col>16</xdr:col>
      <xdr:colOff>146425</xdr:colOff>
      <xdr:row>87</xdr:row>
      <xdr:rowOff>100853</xdr:rowOff>
    </xdr:to>
    <xdr:sp macro="" textlink="">
      <xdr:nvSpPr>
        <xdr:cNvPr id="57" name="円/楕円 56"/>
        <xdr:cNvSpPr/>
      </xdr:nvSpPr>
      <xdr:spPr>
        <a:xfrm>
          <a:off x="9304432" y="14347825"/>
          <a:ext cx="538443" cy="2821828"/>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729129</xdr:colOff>
      <xdr:row>76</xdr:row>
      <xdr:rowOff>177799</xdr:rowOff>
    </xdr:from>
    <xdr:to>
      <xdr:col>20</xdr:col>
      <xdr:colOff>561042</xdr:colOff>
      <xdr:row>87</xdr:row>
      <xdr:rowOff>89647</xdr:rowOff>
    </xdr:to>
    <xdr:sp macro="" textlink="">
      <xdr:nvSpPr>
        <xdr:cNvPr id="58" name="円/楕円 57"/>
        <xdr:cNvSpPr/>
      </xdr:nvSpPr>
      <xdr:spPr>
        <a:xfrm>
          <a:off x="12549654" y="15255874"/>
          <a:ext cx="641538" cy="190257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34364</xdr:colOff>
      <xdr:row>76</xdr:row>
      <xdr:rowOff>177799</xdr:rowOff>
    </xdr:from>
    <xdr:to>
      <xdr:col>22</xdr:col>
      <xdr:colOff>168836</xdr:colOff>
      <xdr:row>87</xdr:row>
      <xdr:rowOff>89647</xdr:rowOff>
    </xdr:to>
    <xdr:sp macro="" textlink="">
      <xdr:nvSpPr>
        <xdr:cNvPr id="59" name="円/楕円 58"/>
        <xdr:cNvSpPr/>
      </xdr:nvSpPr>
      <xdr:spPr>
        <a:xfrm>
          <a:off x="13778939" y="15255874"/>
          <a:ext cx="639297" cy="1902573"/>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146424</xdr:colOff>
      <xdr:row>73</xdr:row>
      <xdr:rowOff>152400</xdr:rowOff>
    </xdr:from>
    <xdr:to>
      <xdr:col>22</xdr:col>
      <xdr:colOff>177800</xdr:colOff>
      <xdr:row>78</xdr:row>
      <xdr:rowOff>22411</xdr:rowOff>
    </xdr:to>
    <xdr:cxnSp macro="">
      <xdr:nvCxnSpPr>
        <xdr:cNvPr id="60" name="直線矢印コネクタ 59"/>
        <xdr:cNvCxnSpPr/>
      </xdr:nvCxnSpPr>
      <xdr:spPr>
        <a:xfrm flipH="1">
          <a:off x="7880724" y="14687550"/>
          <a:ext cx="6546476" cy="774886"/>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151252</xdr:colOff>
      <xdr:row>73</xdr:row>
      <xdr:rowOff>165100</xdr:rowOff>
    </xdr:from>
    <xdr:to>
      <xdr:col>22</xdr:col>
      <xdr:colOff>139700</xdr:colOff>
      <xdr:row>79</xdr:row>
      <xdr:rowOff>172835</xdr:rowOff>
    </xdr:to>
    <xdr:cxnSp macro="">
      <xdr:nvCxnSpPr>
        <xdr:cNvPr id="61" name="直線矢印コネクタ 60"/>
        <xdr:cNvCxnSpPr/>
      </xdr:nvCxnSpPr>
      <xdr:spPr>
        <a:xfrm flipH="1">
          <a:off x="9847702" y="14700250"/>
          <a:ext cx="4541398" cy="1093585"/>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509840</xdr:colOff>
      <xdr:row>73</xdr:row>
      <xdr:rowOff>152400</xdr:rowOff>
    </xdr:from>
    <xdr:to>
      <xdr:col>22</xdr:col>
      <xdr:colOff>165100</xdr:colOff>
      <xdr:row>79</xdr:row>
      <xdr:rowOff>95888</xdr:rowOff>
    </xdr:to>
    <xdr:cxnSp macro="">
      <xdr:nvCxnSpPr>
        <xdr:cNvPr id="62" name="直線矢印コネクタ 61"/>
        <xdr:cNvCxnSpPr/>
      </xdr:nvCxnSpPr>
      <xdr:spPr>
        <a:xfrm flipH="1">
          <a:off x="13139990" y="14687550"/>
          <a:ext cx="1274510" cy="1029338"/>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457200</xdr:colOff>
      <xdr:row>73</xdr:row>
      <xdr:rowOff>127000</xdr:rowOff>
    </xdr:from>
    <xdr:to>
      <xdr:col>22</xdr:col>
      <xdr:colOff>165100</xdr:colOff>
      <xdr:row>77</xdr:row>
      <xdr:rowOff>63500</xdr:rowOff>
    </xdr:to>
    <xdr:cxnSp macro="">
      <xdr:nvCxnSpPr>
        <xdr:cNvPr id="63" name="直線矢印コネクタ 62"/>
        <xdr:cNvCxnSpPr/>
      </xdr:nvCxnSpPr>
      <xdr:spPr>
        <a:xfrm flipH="1">
          <a:off x="14201775" y="14662150"/>
          <a:ext cx="212725" cy="660400"/>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12700</xdr:colOff>
      <xdr:row>88</xdr:row>
      <xdr:rowOff>50800</xdr:rowOff>
    </xdr:from>
    <xdr:to>
      <xdr:col>8</xdr:col>
      <xdr:colOff>63500</xdr:colOff>
      <xdr:row>104</xdr:row>
      <xdr:rowOff>165100</xdr:rowOff>
    </xdr:to>
    <xdr:sp macro="" textlink="">
      <xdr:nvSpPr>
        <xdr:cNvPr id="64" name="縦巻き 63"/>
        <xdr:cNvSpPr/>
      </xdr:nvSpPr>
      <xdr:spPr>
        <a:xfrm>
          <a:off x="3717925" y="17338675"/>
          <a:ext cx="812800" cy="3619500"/>
        </a:xfrm>
        <a:prstGeom prst="verticalScroll">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kumimoji="1" lang="ja-JP" altLang="en-US" sz="2000">
              <a:solidFill>
                <a:schemeClr val="tx1"/>
              </a:solidFill>
            </a:rPr>
            <a:t>計算書作成の手順</a:t>
          </a:r>
        </a:p>
      </xdr:txBody>
    </xdr:sp>
    <xdr:clientData/>
  </xdr:twoCellAnchor>
  <xdr:twoCellAnchor>
    <xdr:from>
      <xdr:col>5</xdr:col>
      <xdr:colOff>266700</xdr:colOff>
      <xdr:row>71</xdr:row>
      <xdr:rowOff>76200</xdr:rowOff>
    </xdr:from>
    <xdr:to>
      <xdr:col>11</xdr:col>
      <xdr:colOff>127000</xdr:colOff>
      <xdr:row>88</xdr:row>
      <xdr:rowOff>38100</xdr:rowOff>
    </xdr:to>
    <xdr:sp macro="" textlink="">
      <xdr:nvSpPr>
        <xdr:cNvPr id="65" name="円/楕円 64"/>
        <xdr:cNvSpPr/>
      </xdr:nvSpPr>
      <xdr:spPr>
        <a:xfrm>
          <a:off x="3695700" y="14182725"/>
          <a:ext cx="2241550" cy="31432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654424</xdr:colOff>
      <xdr:row>73</xdr:row>
      <xdr:rowOff>152400</xdr:rowOff>
    </xdr:from>
    <xdr:to>
      <xdr:col>22</xdr:col>
      <xdr:colOff>165100</xdr:colOff>
      <xdr:row>74</xdr:row>
      <xdr:rowOff>85911</xdr:rowOff>
    </xdr:to>
    <xdr:cxnSp macro="">
      <xdr:nvCxnSpPr>
        <xdr:cNvPr id="66" name="直線矢印コネクタ 65"/>
        <xdr:cNvCxnSpPr/>
      </xdr:nvCxnSpPr>
      <xdr:spPr>
        <a:xfrm flipH="1">
          <a:off x="5721724" y="14687550"/>
          <a:ext cx="8692776" cy="114486"/>
        </a:xfrm>
        <a:prstGeom prst="straightConnector1">
          <a:avLst/>
        </a:prstGeom>
        <a:ln w="25400">
          <a:solidFill>
            <a:schemeClr val="tx1"/>
          </a:solidFill>
          <a:tailEnd type="arrow"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438150</xdr:colOff>
      <xdr:row>44</xdr:row>
      <xdr:rowOff>152400</xdr:rowOff>
    </xdr:from>
    <xdr:to>
      <xdr:col>13</xdr:col>
      <xdr:colOff>287336</xdr:colOff>
      <xdr:row>53</xdr:row>
      <xdr:rowOff>127000</xdr:rowOff>
    </xdr:to>
    <xdr:sp macro="" textlink="">
      <xdr:nvSpPr>
        <xdr:cNvPr id="67" name="角丸四角形吹き出し 66"/>
        <xdr:cNvSpPr/>
      </xdr:nvSpPr>
      <xdr:spPr>
        <a:xfrm>
          <a:off x="6248400" y="8515350"/>
          <a:ext cx="1773236" cy="1603375"/>
        </a:xfrm>
        <a:prstGeom prst="wedgeRoundRectCallout">
          <a:avLst>
            <a:gd name="adj1" fmla="val -73201"/>
            <a:gd name="adj2" fmla="val 5225"/>
            <a:gd name="adj3" fmla="val 16667"/>
          </a:avLst>
        </a:prstGeom>
        <a:solidFill>
          <a:schemeClr val="accent1">
            <a:lumMod val="40000"/>
            <a:lumOff val="6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施工時に、継手の数量や配管ルートが変更される可能性があるため、設備設計の段階では１割の余裕を見込みます</a:t>
          </a:r>
        </a:p>
      </xdr:txBody>
    </xdr:sp>
    <xdr:clientData fPrintsWithSheet="0"/>
  </xdr:twoCellAnchor>
  <xdr:twoCellAnchor>
    <xdr:from>
      <xdr:col>0</xdr:col>
      <xdr:colOff>404812</xdr:colOff>
      <xdr:row>56</xdr:row>
      <xdr:rowOff>13493</xdr:rowOff>
    </xdr:from>
    <xdr:to>
      <xdr:col>4</xdr:col>
      <xdr:colOff>414337</xdr:colOff>
      <xdr:row>58</xdr:row>
      <xdr:rowOff>223043</xdr:rowOff>
    </xdr:to>
    <xdr:sp macro="" textlink="">
      <xdr:nvSpPr>
        <xdr:cNvPr id="68" name="角丸四角形吹き出し 67"/>
        <xdr:cNvSpPr/>
      </xdr:nvSpPr>
      <xdr:spPr>
        <a:xfrm>
          <a:off x="404812" y="10662443"/>
          <a:ext cx="2752725" cy="704850"/>
        </a:xfrm>
        <a:prstGeom prst="wedgeRoundRectCallout">
          <a:avLst>
            <a:gd name="adj1" fmla="val 107071"/>
            <a:gd name="adj2" fmla="val -142697"/>
            <a:gd name="adj3" fmla="val 16667"/>
          </a:avLst>
        </a:prstGeom>
        <a:solidFill>
          <a:schemeClr val="accent6">
            <a:lumMod val="60000"/>
            <a:lumOff val="4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eaLnBrk="1" fontAlgn="auto" latinLnBrk="0" hangingPunct="1"/>
          <a:r>
            <a:rPr kumimoji="1" lang="ja-JP" altLang="ja-JP" sz="1400" b="1" i="0" baseline="0">
              <a:solidFill>
                <a:sysClr val="windowText" lastClr="000000"/>
              </a:solidFill>
              <a:latin typeface="+mn-lt"/>
              <a:ea typeface="+mn-ea"/>
              <a:cs typeface="+mn-cs"/>
            </a:rPr>
            <a:t>「必要給水圧力≦給水圧力」となることを確認してください</a:t>
          </a:r>
          <a:endParaRPr kumimoji="1" lang="ja-JP" altLang="ja-JP" sz="1400" b="1">
            <a:solidFill>
              <a:sysClr val="windowText" lastClr="000000"/>
            </a:solidFill>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xdr:from>
          <xdr:col>8</xdr:col>
          <xdr:colOff>66675</xdr:colOff>
          <xdr:row>88</xdr:row>
          <xdr:rowOff>38100</xdr:rowOff>
        </xdr:from>
        <xdr:to>
          <xdr:col>27</xdr:col>
          <xdr:colOff>238125</xdr:colOff>
          <xdr:row>102</xdr:row>
          <xdr:rowOff>114300</xdr:rowOff>
        </xdr:to>
        <xdr:sp macro="" textlink="">
          <xdr:nvSpPr>
            <xdr:cNvPr id="3088" name="Object 16" hidden="1">
              <a:extLst>
                <a:ext uri="{63B3BB69-23CF-44E3-9099-C40C66FF867C}">
                  <a14:compatExt spid="_x0000_s3088"/>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428626</xdr:colOff>
      <xdr:row>47</xdr:row>
      <xdr:rowOff>190501</xdr:rowOff>
    </xdr:from>
    <xdr:to>
      <xdr:col>4</xdr:col>
      <xdr:colOff>561975</xdr:colOff>
      <xdr:row>49</xdr:row>
      <xdr:rowOff>171451</xdr:rowOff>
    </xdr:to>
    <xdr:sp macro="" textlink="">
      <xdr:nvSpPr>
        <xdr:cNvPr id="2" name="角丸四角形吹き出し 1"/>
        <xdr:cNvSpPr/>
      </xdr:nvSpPr>
      <xdr:spPr>
        <a:xfrm>
          <a:off x="428626" y="9324976"/>
          <a:ext cx="2876549" cy="476250"/>
        </a:xfrm>
        <a:prstGeom prst="wedgeRoundRectCallout">
          <a:avLst>
            <a:gd name="adj1" fmla="val 49915"/>
            <a:gd name="adj2" fmla="val -21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400" b="1" i="0" baseline="0">
              <a:solidFill>
                <a:schemeClr val="tx1"/>
              </a:solidFill>
              <a:latin typeface="+mn-lt"/>
              <a:ea typeface="+mn-ea"/>
              <a:cs typeface="+mn-cs"/>
            </a:rPr>
            <a:t>放水試験圧力の確認</a:t>
          </a:r>
          <a:endParaRPr kumimoji="1" lang="ja-JP" altLang="ja-JP" sz="1400" b="1">
            <a:solidFill>
              <a:schemeClr val="tx1"/>
            </a:solidFill>
            <a:latin typeface="+mn-lt"/>
            <a:ea typeface="+mn-ea"/>
            <a:cs typeface="+mn-cs"/>
          </a:endParaRPr>
        </a:p>
      </xdr:txBody>
    </xdr:sp>
    <xdr:clientData fPrintsWithSheet="0"/>
  </xdr:twoCellAnchor>
  <xdr:twoCellAnchor>
    <xdr:from>
      <xdr:col>0</xdr:col>
      <xdr:colOff>28575</xdr:colOff>
      <xdr:row>6</xdr:row>
      <xdr:rowOff>133349</xdr:rowOff>
    </xdr:from>
    <xdr:to>
      <xdr:col>4</xdr:col>
      <xdr:colOff>590550</xdr:colOff>
      <xdr:row>10</xdr:row>
      <xdr:rowOff>95248</xdr:rowOff>
    </xdr:to>
    <xdr:sp macro="" textlink="">
      <xdr:nvSpPr>
        <xdr:cNvPr id="4" name="横巻き 3"/>
        <xdr:cNvSpPr/>
      </xdr:nvSpPr>
      <xdr:spPr>
        <a:xfrm>
          <a:off x="28575" y="1447799"/>
          <a:ext cx="3305175" cy="828674"/>
        </a:xfrm>
        <a:prstGeom prst="horizontalScroll">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chemeClr val="bg1"/>
              </a:solidFill>
            </a:rPr>
            <a:t>計算書の入力作業は不要です。</a:t>
          </a:r>
          <a:endParaRPr kumimoji="1" lang="en-US" altLang="ja-JP" sz="1400" b="1">
            <a:solidFill>
              <a:schemeClr val="bg1"/>
            </a:solidFill>
          </a:endParaRPr>
        </a:p>
        <a:p>
          <a:pPr algn="l"/>
          <a:r>
            <a:rPr kumimoji="1" lang="ja-JP" altLang="en-US" sz="1400" b="1">
              <a:solidFill>
                <a:schemeClr val="bg1"/>
              </a:solidFill>
            </a:rPr>
            <a:t>計算結果の確認をしてください。</a:t>
          </a:r>
        </a:p>
      </xdr:txBody>
    </xdr:sp>
    <xdr:clientData/>
  </xdr:twoCellAnchor>
  <xdr:twoCellAnchor>
    <xdr:from>
      <xdr:col>0</xdr:col>
      <xdr:colOff>47626</xdr:colOff>
      <xdr:row>0</xdr:row>
      <xdr:rowOff>47625</xdr:rowOff>
    </xdr:from>
    <xdr:to>
      <xdr:col>4</xdr:col>
      <xdr:colOff>561976</xdr:colOff>
      <xdr:row>6</xdr:row>
      <xdr:rowOff>152399</xdr:rowOff>
    </xdr:to>
    <xdr:sp macro="" textlink="">
      <xdr:nvSpPr>
        <xdr:cNvPr id="5" name="小波 4"/>
        <xdr:cNvSpPr/>
      </xdr:nvSpPr>
      <xdr:spPr>
        <a:xfrm>
          <a:off x="47626" y="47625"/>
          <a:ext cx="3257550" cy="1419224"/>
        </a:xfrm>
        <a:prstGeom prst="doubleWave">
          <a:avLst/>
        </a:prstGeom>
        <a:solidFill>
          <a:srgbClr val="FFCCFF"/>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u="none">
              <a:solidFill>
                <a:schemeClr val="tx1"/>
              </a:solidFill>
              <a:latin typeface="+mj-ea"/>
              <a:ea typeface="+mj-ea"/>
            </a:rPr>
            <a:t>テスト弁で放水試験を行うときの、合否の判定基準となる圧力値を計算します。</a:t>
          </a:r>
          <a:endParaRPr kumimoji="1" lang="en-US" altLang="ja-JP" sz="1400" b="1" u="none">
            <a:solidFill>
              <a:schemeClr val="tx1"/>
            </a:solidFill>
            <a:latin typeface="+mj-ea"/>
            <a:ea typeface="+mj-ea"/>
          </a:endParaRPr>
        </a:p>
        <a:p>
          <a:pPr algn="l"/>
          <a:r>
            <a:rPr kumimoji="1" lang="ja-JP" altLang="en-US" sz="1400" b="1" u="none">
              <a:solidFill>
                <a:schemeClr val="tx1"/>
              </a:solidFill>
              <a:latin typeface="+mj-ea"/>
              <a:ea typeface="+mj-ea"/>
            </a:rPr>
            <a:t>計算結果は、設計図面（系統図）に記載します。</a:t>
          </a:r>
          <a:endParaRPr kumimoji="1" lang="en-US" altLang="ja-JP" sz="1400" b="1" u="none">
            <a:solidFill>
              <a:schemeClr val="tx1"/>
            </a:solidFill>
            <a:latin typeface="+mj-ea"/>
            <a:ea typeface="+mj-ea"/>
          </a:endParaRPr>
        </a:p>
      </xdr:txBody>
    </xdr:sp>
    <xdr:clientData/>
  </xdr:twoCellAnchor>
  <xdr:twoCellAnchor>
    <xdr:from>
      <xdr:col>0</xdr:col>
      <xdr:colOff>447675</xdr:colOff>
      <xdr:row>50</xdr:row>
      <xdr:rowOff>76200</xdr:rowOff>
    </xdr:from>
    <xdr:to>
      <xdr:col>4</xdr:col>
      <xdr:colOff>457200</xdr:colOff>
      <xdr:row>53</xdr:row>
      <xdr:rowOff>38100</xdr:rowOff>
    </xdr:to>
    <xdr:sp macro="" textlink="">
      <xdr:nvSpPr>
        <xdr:cNvPr id="6" name="角丸四角形吹き出し 5"/>
        <xdr:cNvSpPr/>
      </xdr:nvSpPr>
      <xdr:spPr>
        <a:xfrm>
          <a:off x="447675" y="9953625"/>
          <a:ext cx="2752725" cy="704850"/>
        </a:xfrm>
        <a:prstGeom prst="wedgeRoundRectCallout">
          <a:avLst>
            <a:gd name="adj1" fmla="val 58628"/>
            <a:gd name="adj2" fmla="val 31627"/>
            <a:gd name="adj3" fmla="val 16667"/>
          </a:avLst>
        </a:prstGeom>
        <a:solidFill>
          <a:schemeClr val="accent6">
            <a:lumMod val="60000"/>
            <a:lumOff val="4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eaLnBrk="1" fontAlgn="auto" latinLnBrk="0" hangingPunct="1"/>
          <a:r>
            <a:rPr kumimoji="1" lang="ja-JP" altLang="ja-JP" sz="1400" b="1" i="0" baseline="0">
              <a:solidFill>
                <a:sysClr val="windowText" lastClr="000000"/>
              </a:solidFill>
              <a:latin typeface="+mn-lt"/>
              <a:ea typeface="+mn-ea"/>
              <a:cs typeface="+mn-cs"/>
            </a:rPr>
            <a:t>「必要給水圧力≦給水圧力」となることを確認してください</a:t>
          </a:r>
          <a:endParaRPr kumimoji="1" lang="ja-JP" altLang="ja-JP" sz="1400" b="1">
            <a:solidFill>
              <a:sysClr val="windowText" lastClr="000000"/>
            </a:solidFill>
            <a:latin typeface="+mn-lt"/>
            <a:ea typeface="+mn-ea"/>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FF"/>
        </a:solidFill>
        <a:ln>
          <a:solidFill>
            <a:schemeClr val="accent1">
              <a:shade val="50000"/>
              <a:alpha val="50000"/>
            </a:schemeClr>
          </a:solidFill>
        </a:ln>
      </a:spPr>
      <a:bodyPr vertOverflow="clip" rtlCol="0" anchor="ctr"/>
      <a:lstStyle>
        <a:defPPr marL="0" marR="0" indent="0" algn="l" defTabSz="914400" eaLnBrk="1" fontAlgn="auto" latinLnBrk="0" hangingPunct="1">
          <a:lnSpc>
            <a:spcPct val="100000"/>
          </a:lnSpc>
          <a:spcBef>
            <a:spcPts val="0"/>
          </a:spcBef>
          <a:spcAft>
            <a:spcPts val="0"/>
          </a:spcAft>
          <a:buClrTx/>
          <a:buSzTx/>
          <a:buFontTx/>
          <a:buNone/>
          <a:tabLst/>
          <a:defRPr kumimoji="1" sz="1100">
            <a:solidFill>
              <a:schemeClr val="tx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noFill/>
        <a:ln w="9525" cmpd="sng">
          <a:noFill/>
        </a:ln>
      </a:spPr>
      <a:bodyPr vert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image" Target="../media/image12.wmf"/><Relationship Id="rId5" Type="http://schemas.openxmlformats.org/officeDocument/2006/relationships/oleObject" Target="../embeddings/oleObject1.bin"/><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image" Target="../media/image13.wmf"/><Relationship Id="rId5" Type="http://schemas.openxmlformats.org/officeDocument/2006/relationships/oleObject" Target="../embeddings/oleObject2.bin"/><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T150"/>
  <sheetViews>
    <sheetView tabSelected="1" view="pageBreakPreview" zoomScale="130" zoomScaleNormal="100" zoomScaleSheetLayoutView="130" workbookViewId="0">
      <selection activeCell="A151" sqref="A151"/>
    </sheetView>
  </sheetViews>
  <sheetFormatPr defaultRowHeight="13.5" x14ac:dyDescent="0.15"/>
  <cols>
    <col min="1" max="1" width="3.125" customWidth="1"/>
    <col min="2" max="2" width="2.875" customWidth="1"/>
    <col min="5" max="5" width="10.625" customWidth="1"/>
    <col min="6" max="6" width="12" customWidth="1"/>
    <col min="9" max="9" width="22.875" customWidth="1"/>
    <col min="10" max="10" width="12" customWidth="1"/>
  </cols>
  <sheetData>
    <row r="1" spans="1:20" ht="25.5" customHeight="1" x14ac:dyDescent="0.2">
      <c r="A1" s="376" t="s">
        <v>211</v>
      </c>
      <c r="B1" s="376"/>
      <c r="C1" s="376"/>
      <c r="D1" s="376"/>
      <c r="E1" s="376"/>
      <c r="F1" s="376"/>
      <c r="G1" s="376"/>
      <c r="H1" s="376"/>
      <c r="I1" s="376"/>
      <c r="J1" s="376"/>
    </row>
    <row r="2" spans="1:20" ht="12" customHeight="1" x14ac:dyDescent="0.2">
      <c r="B2" s="316"/>
      <c r="C2" s="316"/>
      <c r="D2" s="316"/>
      <c r="E2" s="316"/>
      <c r="F2" s="316"/>
      <c r="G2" s="316"/>
      <c r="H2" s="316"/>
      <c r="I2" s="358" t="s">
        <v>233</v>
      </c>
    </row>
    <row r="3" spans="1:20" ht="15" customHeight="1" x14ac:dyDescent="0.15">
      <c r="A3" s="323" t="s">
        <v>202</v>
      </c>
    </row>
    <row r="4" spans="1:20" ht="60" customHeight="1" x14ac:dyDescent="0.15">
      <c r="A4" s="319"/>
      <c r="B4" s="375" t="s">
        <v>210</v>
      </c>
      <c r="C4" s="375"/>
      <c r="D4" s="375"/>
      <c r="E4" s="375"/>
      <c r="F4" s="375"/>
      <c r="G4" s="375"/>
      <c r="H4" s="375"/>
      <c r="I4" s="375"/>
      <c r="J4" s="375"/>
    </row>
    <row r="5" spans="1:20" ht="13.5" customHeight="1" x14ac:dyDescent="0.15"/>
    <row r="6" spans="1:20" ht="15" customHeight="1" x14ac:dyDescent="0.25">
      <c r="A6" s="323" t="s">
        <v>208</v>
      </c>
      <c r="C6" s="324"/>
      <c r="D6" s="324"/>
      <c r="E6" s="324"/>
      <c r="F6" s="324"/>
      <c r="G6" s="324"/>
      <c r="H6" s="324"/>
      <c r="I6" s="324"/>
    </row>
    <row r="7" spans="1:20" ht="15" customHeight="1" x14ac:dyDescent="0.15">
      <c r="B7" s="331" t="s">
        <v>234</v>
      </c>
    </row>
    <row r="8" spans="1:20" x14ac:dyDescent="0.15">
      <c r="C8" s="377" t="s">
        <v>235</v>
      </c>
      <c r="D8" s="378"/>
      <c r="E8" s="378"/>
      <c r="M8" s="264"/>
      <c r="N8" s="264"/>
      <c r="O8" s="264"/>
      <c r="P8" s="264"/>
      <c r="Q8" s="264"/>
      <c r="R8" s="264"/>
      <c r="S8" s="264"/>
      <c r="T8" s="264"/>
    </row>
    <row r="9" spans="1:20" ht="13.5" customHeight="1" x14ac:dyDescent="0.15">
      <c r="C9" s="378"/>
      <c r="D9" s="378"/>
      <c r="E9" s="378"/>
      <c r="M9" s="264"/>
      <c r="N9" s="264"/>
      <c r="O9" s="264"/>
      <c r="P9" s="264"/>
      <c r="Q9" s="264"/>
      <c r="R9" s="264"/>
      <c r="S9" s="264"/>
      <c r="T9" s="264"/>
    </row>
    <row r="10" spans="1:20" ht="13.5" customHeight="1" x14ac:dyDescent="0.2">
      <c r="B10" s="316"/>
      <c r="C10" s="378"/>
      <c r="D10" s="378"/>
      <c r="E10" s="378"/>
      <c r="F10" s="316"/>
      <c r="G10" s="316"/>
      <c r="H10" s="316"/>
      <c r="I10" s="316"/>
      <c r="M10" s="264"/>
      <c r="N10" s="264"/>
      <c r="O10" s="264"/>
      <c r="P10" s="264"/>
      <c r="Q10" s="264"/>
      <c r="R10" s="264"/>
      <c r="S10" s="264"/>
      <c r="T10" s="264"/>
    </row>
    <row r="11" spans="1:20" ht="13.5" customHeight="1" x14ac:dyDescent="0.2">
      <c r="B11" s="316"/>
      <c r="C11" s="378"/>
      <c r="D11" s="378"/>
      <c r="E11" s="378"/>
      <c r="F11" s="316"/>
      <c r="G11" s="316"/>
      <c r="H11" s="316"/>
      <c r="I11" s="316"/>
      <c r="M11" s="264"/>
      <c r="N11" s="264"/>
      <c r="O11" s="264"/>
      <c r="P11" s="264"/>
      <c r="Q11" s="264"/>
      <c r="R11" s="264"/>
      <c r="S11" s="264"/>
      <c r="T11" s="264"/>
    </row>
    <row r="12" spans="1:20" ht="13.5" customHeight="1" x14ac:dyDescent="0.2">
      <c r="B12" s="316"/>
      <c r="C12" s="378"/>
      <c r="D12" s="378"/>
      <c r="E12" s="378"/>
      <c r="F12" s="316"/>
      <c r="G12" s="316"/>
      <c r="H12" s="316"/>
      <c r="I12" s="316"/>
      <c r="M12" s="264"/>
      <c r="N12" s="264"/>
      <c r="O12" s="264"/>
      <c r="P12" s="264"/>
      <c r="Q12" s="264"/>
      <c r="R12" s="264"/>
      <c r="S12" s="264"/>
      <c r="T12" s="264"/>
    </row>
    <row r="13" spans="1:20" ht="13.5" customHeight="1" x14ac:dyDescent="0.15">
      <c r="C13" s="378"/>
      <c r="D13" s="378"/>
      <c r="E13" s="378"/>
      <c r="M13" s="264"/>
      <c r="N13" s="264"/>
      <c r="O13" s="264"/>
      <c r="P13" s="264"/>
      <c r="Q13" s="264"/>
      <c r="R13" s="264"/>
      <c r="S13" s="264"/>
      <c r="T13" s="264"/>
    </row>
    <row r="14" spans="1:20" ht="13.5" customHeight="1" x14ac:dyDescent="0.15">
      <c r="C14" s="378"/>
      <c r="D14" s="378"/>
      <c r="E14" s="378"/>
      <c r="M14" s="264"/>
      <c r="N14" s="264"/>
      <c r="O14" s="264"/>
      <c r="P14" s="264"/>
      <c r="Q14" s="264"/>
      <c r="R14" s="264"/>
      <c r="S14" s="264"/>
      <c r="T14" s="264"/>
    </row>
    <row r="15" spans="1:20" ht="13.5" customHeight="1" x14ac:dyDescent="0.15">
      <c r="C15" s="378"/>
      <c r="D15" s="378"/>
      <c r="E15" s="378"/>
      <c r="M15" s="264"/>
      <c r="N15" s="264"/>
      <c r="O15" s="264"/>
      <c r="P15" s="264"/>
      <c r="Q15" s="264"/>
      <c r="R15" s="264"/>
      <c r="S15" s="264"/>
      <c r="T15" s="264"/>
    </row>
    <row r="16" spans="1:20" x14ac:dyDescent="0.15">
      <c r="C16" s="378"/>
      <c r="D16" s="378"/>
      <c r="E16" s="378"/>
      <c r="M16" s="264"/>
      <c r="N16" s="264"/>
      <c r="O16" s="264"/>
      <c r="P16" s="264"/>
      <c r="Q16" s="264"/>
      <c r="R16" s="264"/>
      <c r="S16" s="264"/>
      <c r="T16" s="264"/>
    </row>
    <row r="17" spans="3:20" x14ac:dyDescent="0.15">
      <c r="C17" s="378"/>
      <c r="D17" s="378"/>
      <c r="E17" s="378"/>
      <c r="M17" s="264"/>
      <c r="N17" s="264"/>
      <c r="O17" s="264"/>
      <c r="P17" s="264"/>
      <c r="Q17" s="264"/>
      <c r="R17" s="264"/>
      <c r="S17" s="264"/>
      <c r="T17" s="264"/>
    </row>
    <row r="18" spans="3:20" x14ac:dyDescent="0.15">
      <c r="C18" s="378"/>
      <c r="D18" s="378"/>
      <c r="E18" s="378"/>
      <c r="M18" s="264"/>
      <c r="N18" s="264"/>
      <c r="O18" s="264"/>
      <c r="P18" s="264"/>
      <c r="Q18" s="264"/>
      <c r="R18" s="264"/>
      <c r="S18" s="264"/>
      <c r="T18" s="264"/>
    </row>
    <row r="19" spans="3:20" ht="13.5" customHeight="1" x14ac:dyDescent="0.15">
      <c r="C19" s="378"/>
      <c r="D19" s="378"/>
      <c r="E19" s="378"/>
      <c r="F19" s="327"/>
      <c r="G19" s="327"/>
      <c r="H19" s="327"/>
      <c r="I19" s="327"/>
      <c r="M19" s="264"/>
      <c r="N19" s="264"/>
      <c r="O19" s="264"/>
      <c r="P19" s="264"/>
      <c r="Q19" s="264"/>
      <c r="R19" s="264"/>
      <c r="S19" s="264"/>
      <c r="T19" s="264"/>
    </row>
    <row r="20" spans="3:20" x14ac:dyDescent="0.15">
      <c r="C20" s="378"/>
      <c r="D20" s="378"/>
      <c r="E20" s="378"/>
      <c r="M20" s="264"/>
      <c r="N20" s="264"/>
      <c r="O20" s="264"/>
      <c r="P20" s="264"/>
      <c r="Q20" s="264"/>
      <c r="R20" s="264"/>
      <c r="S20" s="264"/>
      <c r="T20" s="264"/>
    </row>
    <row r="21" spans="3:20" x14ac:dyDescent="0.15">
      <c r="C21" s="378"/>
      <c r="D21" s="378"/>
      <c r="E21" s="378"/>
      <c r="M21" s="264"/>
      <c r="N21" s="264"/>
      <c r="O21" s="264"/>
      <c r="P21" s="264"/>
      <c r="Q21" s="264"/>
      <c r="R21" s="264"/>
      <c r="S21" s="264"/>
      <c r="T21" s="264"/>
    </row>
    <row r="22" spans="3:20" x14ac:dyDescent="0.15">
      <c r="C22" s="378"/>
      <c r="D22" s="378"/>
      <c r="E22" s="378"/>
      <c r="M22" s="264"/>
      <c r="N22" s="264"/>
      <c r="O22" s="264"/>
      <c r="P22" s="264"/>
      <c r="Q22" s="264"/>
      <c r="R22" s="264"/>
      <c r="S22" s="264"/>
      <c r="T22" s="264"/>
    </row>
    <row r="23" spans="3:20" x14ac:dyDescent="0.15">
      <c r="C23" s="378"/>
      <c r="D23" s="378"/>
      <c r="E23" s="378"/>
      <c r="M23" s="264"/>
      <c r="N23" s="264"/>
      <c r="O23" s="264"/>
      <c r="P23" s="264"/>
      <c r="Q23" s="264"/>
      <c r="R23" s="264"/>
      <c r="S23" s="264"/>
      <c r="T23" s="264"/>
    </row>
    <row r="24" spans="3:20" x14ac:dyDescent="0.15">
      <c r="C24" s="377"/>
      <c r="D24" s="377"/>
      <c r="E24" s="377"/>
      <c r="F24" s="377"/>
      <c r="H24" s="378"/>
      <c r="I24" s="378"/>
      <c r="J24" s="378"/>
      <c r="M24" s="264"/>
      <c r="N24" s="264"/>
      <c r="O24" s="264"/>
      <c r="P24" s="264"/>
      <c r="Q24" s="264"/>
      <c r="R24" s="264"/>
      <c r="S24" s="264"/>
      <c r="T24" s="264"/>
    </row>
    <row r="25" spans="3:20" x14ac:dyDescent="0.15">
      <c r="C25" s="329"/>
      <c r="D25" s="329"/>
      <c r="E25" s="329"/>
      <c r="M25" s="264"/>
      <c r="N25" s="264"/>
      <c r="O25" s="264"/>
      <c r="P25" s="264"/>
      <c r="Q25" s="264"/>
      <c r="R25" s="264"/>
      <c r="S25" s="264"/>
      <c r="T25" s="264"/>
    </row>
    <row r="26" spans="3:20" x14ac:dyDescent="0.15">
      <c r="C26" s="329"/>
      <c r="D26" s="329"/>
      <c r="E26" s="329"/>
    </row>
    <row r="27" spans="3:20" x14ac:dyDescent="0.15">
      <c r="C27" s="329"/>
      <c r="D27" s="329"/>
      <c r="E27" s="329"/>
    </row>
    <row r="28" spans="3:20" x14ac:dyDescent="0.15">
      <c r="C28" s="329"/>
      <c r="D28" s="329"/>
      <c r="E28" s="329"/>
      <c r="M28" s="264"/>
      <c r="N28" s="264"/>
      <c r="O28" s="264"/>
      <c r="P28" s="264"/>
      <c r="Q28" s="264"/>
      <c r="R28" s="264"/>
      <c r="S28" s="264"/>
      <c r="T28" s="264"/>
    </row>
    <row r="29" spans="3:20" x14ac:dyDescent="0.15">
      <c r="C29" s="329"/>
      <c r="D29" s="329"/>
      <c r="E29" s="329"/>
      <c r="M29" s="264"/>
      <c r="N29" s="264"/>
      <c r="O29" s="264"/>
      <c r="P29" s="264"/>
      <c r="Q29" s="264"/>
      <c r="R29" s="264"/>
      <c r="S29" s="264"/>
      <c r="T29" s="264"/>
    </row>
    <row r="30" spans="3:20" x14ac:dyDescent="0.15">
      <c r="C30" s="329"/>
      <c r="D30" s="329"/>
      <c r="E30" s="329"/>
      <c r="M30" s="264"/>
      <c r="N30" s="264"/>
      <c r="O30" s="264"/>
      <c r="P30" s="264"/>
      <c r="Q30" s="264"/>
      <c r="R30" s="264"/>
      <c r="S30" s="264"/>
      <c r="T30" s="264"/>
    </row>
    <row r="31" spans="3:20" x14ac:dyDescent="0.15">
      <c r="C31" s="329"/>
      <c r="D31" s="329"/>
      <c r="E31" s="329"/>
      <c r="M31" s="264"/>
      <c r="N31" s="264"/>
      <c r="O31" s="264"/>
      <c r="P31" s="264"/>
      <c r="Q31" s="264"/>
      <c r="R31" s="264"/>
      <c r="S31" s="264"/>
      <c r="T31" s="264"/>
    </row>
    <row r="32" spans="3:20" x14ac:dyDescent="0.15">
      <c r="C32" s="329"/>
      <c r="D32" s="329"/>
      <c r="E32" s="329"/>
      <c r="M32" s="264"/>
      <c r="N32" s="264"/>
      <c r="O32" s="264"/>
      <c r="P32" s="264"/>
      <c r="Q32" s="264"/>
      <c r="R32" s="264"/>
      <c r="S32" s="264"/>
      <c r="T32" s="264"/>
    </row>
    <row r="33" spans="2:20" x14ac:dyDescent="0.15">
      <c r="C33" s="329"/>
      <c r="D33" s="329"/>
      <c r="E33" s="329"/>
      <c r="M33" s="264"/>
      <c r="N33" s="264"/>
      <c r="O33" s="264"/>
      <c r="P33" s="264"/>
      <c r="Q33" s="264"/>
      <c r="R33" s="264"/>
      <c r="S33" s="264"/>
      <c r="T33" s="264"/>
    </row>
    <row r="34" spans="2:20" x14ac:dyDescent="0.15">
      <c r="C34" s="329"/>
      <c r="D34" s="329"/>
      <c r="E34" s="329"/>
      <c r="M34" s="264"/>
      <c r="N34" s="264"/>
      <c r="O34" s="264"/>
      <c r="P34" s="264"/>
      <c r="Q34" s="264"/>
      <c r="R34" s="264"/>
      <c r="S34" s="264"/>
      <c r="T34" s="264"/>
    </row>
    <row r="35" spans="2:20" x14ac:dyDescent="0.15">
      <c r="C35" s="329"/>
      <c r="D35" s="329"/>
      <c r="E35" s="329"/>
      <c r="M35" s="264"/>
      <c r="N35" s="264"/>
      <c r="O35" s="264"/>
      <c r="P35" s="264"/>
      <c r="Q35" s="264"/>
      <c r="R35" s="264"/>
      <c r="S35" s="264"/>
      <c r="T35" s="264"/>
    </row>
    <row r="36" spans="2:20" x14ac:dyDescent="0.15">
      <c r="C36" s="329"/>
      <c r="D36" s="329"/>
      <c r="E36" s="329"/>
      <c r="M36" s="264"/>
      <c r="N36" s="264"/>
      <c r="O36" s="264"/>
      <c r="P36" s="264"/>
      <c r="Q36" s="264"/>
      <c r="R36" s="264"/>
      <c r="S36" s="264"/>
      <c r="T36" s="264"/>
    </row>
    <row r="37" spans="2:20" x14ac:dyDescent="0.15">
      <c r="C37" s="329"/>
      <c r="D37" s="329"/>
      <c r="E37" s="329"/>
      <c r="M37" s="264"/>
      <c r="N37" s="264"/>
      <c r="O37" s="264"/>
      <c r="P37" s="264"/>
      <c r="Q37" s="264"/>
      <c r="R37" s="264"/>
      <c r="S37" s="264"/>
      <c r="T37" s="264"/>
    </row>
    <row r="38" spans="2:20" x14ac:dyDescent="0.15">
      <c r="C38" s="329"/>
      <c r="D38" s="329"/>
      <c r="E38" s="329"/>
      <c r="M38" s="264"/>
      <c r="N38" s="264"/>
      <c r="O38" s="264"/>
      <c r="P38" s="264"/>
      <c r="Q38" s="264"/>
      <c r="R38" s="264"/>
      <c r="S38" s="264"/>
      <c r="T38" s="264"/>
    </row>
    <row r="39" spans="2:20" x14ac:dyDescent="0.15">
      <c r="C39" s="329"/>
      <c r="D39" s="329"/>
      <c r="E39" s="329"/>
      <c r="M39" s="264"/>
      <c r="N39" s="264"/>
      <c r="O39" s="264"/>
      <c r="P39" s="264"/>
      <c r="Q39" s="264"/>
      <c r="R39" s="264"/>
      <c r="S39" s="264"/>
      <c r="T39" s="264"/>
    </row>
    <row r="40" spans="2:20" x14ac:dyDescent="0.15">
      <c r="C40" s="329"/>
      <c r="D40" s="329"/>
      <c r="E40" s="329"/>
      <c r="M40" s="264"/>
      <c r="N40" s="264"/>
      <c r="O40" s="264"/>
      <c r="P40" s="264"/>
      <c r="Q40" s="264"/>
      <c r="R40" s="264"/>
      <c r="S40" s="264"/>
      <c r="T40" s="264"/>
    </row>
    <row r="41" spans="2:20" x14ac:dyDescent="0.15">
      <c r="C41" s="329"/>
      <c r="D41" s="329"/>
      <c r="E41" s="329"/>
      <c r="M41" s="264"/>
      <c r="N41" s="264"/>
      <c r="O41" s="264"/>
      <c r="P41" s="264"/>
      <c r="Q41" s="264"/>
      <c r="R41" s="264"/>
      <c r="S41" s="264"/>
      <c r="T41" s="264"/>
    </row>
    <row r="42" spans="2:20" x14ac:dyDescent="0.15">
      <c r="C42" s="329"/>
      <c r="D42" s="329"/>
      <c r="E42" s="329"/>
      <c r="M42" s="264"/>
      <c r="N42" s="264"/>
      <c r="O42" s="264"/>
      <c r="P42" s="264"/>
      <c r="Q42" s="264"/>
      <c r="R42" s="264"/>
      <c r="S42" s="264"/>
      <c r="T42" s="264"/>
    </row>
    <row r="43" spans="2:20" x14ac:dyDescent="0.15">
      <c r="C43" s="329"/>
      <c r="D43" s="329"/>
      <c r="E43" s="329"/>
      <c r="M43" s="264"/>
      <c r="N43" s="264"/>
      <c r="O43" s="264"/>
      <c r="P43" s="264"/>
      <c r="Q43" s="264"/>
      <c r="R43" s="264"/>
      <c r="S43" s="264"/>
      <c r="T43" s="264"/>
    </row>
    <row r="44" spans="2:20" x14ac:dyDescent="0.15">
      <c r="C44" s="329"/>
      <c r="D44" s="329"/>
      <c r="E44" s="329"/>
      <c r="M44" s="264"/>
      <c r="N44" s="264"/>
      <c r="O44" s="264"/>
      <c r="P44" s="264"/>
      <c r="Q44" s="264"/>
      <c r="R44" s="264"/>
      <c r="S44" s="264"/>
      <c r="T44" s="264"/>
    </row>
    <row r="45" spans="2:20" ht="15" customHeight="1" x14ac:dyDescent="0.15">
      <c r="B45" s="331" t="s">
        <v>212</v>
      </c>
      <c r="M45" s="264"/>
      <c r="N45" s="264"/>
      <c r="O45" s="264"/>
      <c r="P45" s="264"/>
      <c r="Q45" s="264"/>
      <c r="R45" s="264"/>
      <c r="S45" s="264"/>
      <c r="T45" s="264"/>
    </row>
    <row r="46" spans="2:20" ht="13.5" customHeight="1" x14ac:dyDescent="0.15">
      <c r="C46" s="379" t="s">
        <v>236</v>
      </c>
      <c r="D46" s="379"/>
      <c r="E46" s="379"/>
      <c r="F46" s="327"/>
      <c r="G46" s="327"/>
      <c r="H46" s="327"/>
      <c r="I46" s="327"/>
    </row>
    <row r="47" spans="2:20" x14ac:dyDescent="0.15">
      <c r="C47" s="379"/>
      <c r="D47" s="379"/>
      <c r="E47" s="379"/>
    </row>
    <row r="48" spans="2:20" x14ac:dyDescent="0.15">
      <c r="C48" s="379"/>
      <c r="D48" s="379"/>
      <c r="E48" s="379"/>
      <c r="M48" s="264"/>
      <c r="N48" s="264"/>
      <c r="O48" s="264"/>
      <c r="P48" s="264"/>
      <c r="Q48" s="264"/>
      <c r="R48" s="264"/>
      <c r="S48" s="264"/>
      <c r="T48" s="264"/>
    </row>
    <row r="49" spans="2:20" x14ac:dyDescent="0.15">
      <c r="C49" s="379"/>
      <c r="D49" s="379"/>
      <c r="E49" s="379"/>
      <c r="M49" s="264"/>
      <c r="N49" s="264"/>
      <c r="O49" s="264"/>
      <c r="P49" s="264"/>
      <c r="Q49" s="264"/>
      <c r="R49" s="264"/>
      <c r="S49" s="264"/>
      <c r="T49" s="264"/>
    </row>
    <row r="50" spans="2:20" x14ac:dyDescent="0.15">
      <c r="C50" s="379"/>
      <c r="D50" s="379"/>
      <c r="E50" s="379"/>
      <c r="M50" s="264"/>
      <c r="N50" s="264"/>
      <c r="O50" s="264"/>
      <c r="P50" s="264"/>
      <c r="Q50" s="264"/>
      <c r="R50" s="264"/>
      <c r="S50" s="264"/>
      <c r="T50" s="264"/>
    </row>
    <row r="51" spans="2:20" x14ac:dyDescent="0.15">
      <c r="C51" s="379"/>
      <c r="D51" s="379"/>
      <c r="E51" s="379"/>
      <c r="M51" s="264"/>
      <c r="N51" s="264"/>
      <c r="O51" s="264"/>
      <c r="P51" s="264"/>
      <c r="Q51" s="264"/>
      <c r="R51" s="264"/>
      <c r="S51" s="264"/>
      <c r="T51" s="264"/>
    </row>
    <row r="52" spans="2:20" x14ac:dyDescent="0.15">
      <c r="C52" s="379"/>
      <c r="D52" s="379"/>
      <c r="E52" s="379"/>
      <c r="M52" s="264"/>
      <c r="N52" s="264"/>
      <c r="O52" s="264"/>
      <c r="P52" s="264"/>
      <c r="Q52" s="264"/>
      <c r="R52" s="264"/>
      <c r="S52" s="264"/>
      <c r="T52" s="264"/>
    </row>
    <row r="53" spans="2:20" x14ac:dyDescent="0.15">
      <c r="C53" s="379"/>
      <c r="D53" s="379"/>
      <c r="E53" s="379"/>
      <c r="M53" s="264"/>
      <c r="N53" s="264"/>
      <c r="O53" s="264"/>
      <c r="P53" s="264"/>
      <c r="Q53" s="264"/>
      <c r="R53" s="264"/>
      <c r="S53" s="264"/>
      <c r="T53" s="264"/>
    </row>
    <row r="54" spans="2:20" x14ac:dyDescent="0.15">
      <c r="C54" s="379"/>
      <c r="D54" s="379"/>
      <c r="E54" s="379"/>
      <c r="M54" s="264"/>
      <c r="N54" s="264"/>
      <c r="O54" s="264"/>
      <c r="P54" s="264"/>
      <c r="Q54" s="264"/>
      <c r="R54" s="264"/>
      <c r="S54" s="264"/>
      <c r="T54" s="264"/>
    </row>
    <row r="55" spans="2:20" x14ac:dyDescent="0.15">
      <c r="C55" s="379"/>
      <c r="D55" s="379"/>
      <c r="E55" s="379"/>
      <c r="M55" s="264"/>
      <c r="N55" s="264"/>
      <c r="O55" s="264"/>
      <c r="P55" s="264"/>
      <c r="Q55" s="264"/>
      <c r="R55" s="264"/>
      <c r="S55" s="264"/>
      <c r="T55" s="264"/>
    </row>
    <row r="56" spans="2:20" x14ac:dyDescent="0.15">
      <c r="C56" s="379"/>
      <c r="D56" s="379"/>
      <c r="E56" s="379"/>
      <c r="M56" s="264"/>
      <c r="N56" s="264"/>
      <c r="O56" s="264"/>
      <c r="P56" s="264"/>
      <c r="Q56" s="264"/>
      <c r="R56" s="264"/>
      <c r="S56" s="264"/>
      <c r="T56" s="264"/>
    </row>
    <row r="57" spans="2:20" x14ac:dyDescent="0.15">
      <c r="C57" s="379"/>
      <c r="D57" s="379"/>
      <c r="E57" s="379"/>
      <c r="M57" s="264"/>
      <c r="N57" s="264"/>
      <c r="O57" s="264"/>
      <c r="P57" s="264"/>
      <c r="Q57" s="264"/>
      <c r="R57" s="264"/>
      <c r="S57" s="264"/>
      <c r="T57" s="264"/>
    </row>
    <row r="58" spans="2:20" x14ac:dyDescent="0.15">
      <c r="C58" s="379"/>
      <c r="D58" s="379"/>
      <c r="E58" s="379"/>
      <c r="M58" s="264"/>
      <c r="N58" s="264"/>
      <c r="O58" s="264"/>
      <c r="P58" s="264"/>
      <c r="Q58" s="264"/>
      <c r="R58" s="264"/>
      <c r="S58" s="264"/>
      <c r="T58" s="264"/>
    </row>
    <row r="59" spans="2:20" x14ac:dyDescent="0.15">
      <c r="C59" s="379"/>
      <c r="D59" s="379"/>
      <c r="E59" s="379"/>
      <c r="M59" s="264"/>
      <c r="N59" s="264"/>
      <c r="O59" s="264"/>
      <c r="P59" s="264"/>
      <c r="Q59" s="264"/>
      <c r="R59" s="264"/>
      <c r="S59" s="264"/>
      <c r="T59" s="264"/>
    </row>
    <row r="60" spans="2:20" x14ac:dyDescent="0.15">
      <c r="C60" s="379"/>
      <c r="D60" s="379"/>
      <c r="E60" s="379"/>
      <c r="M60" s="264"/>
      <c r="N60" s="264"/>
      <c r="O60" s="264"/>
      <c r="P60" s="264"/>
      <c r="Q60" s="264"/>
      <c r="R60" s="264"/>
      <c r="S60" s="264"/>
      <c r="T60" s="264"/>
    </row>
    <row r="61" spans="2:20" x14ac:dyDescent="0.15">
      <c r="C61" s="379"/>
      <c r="D61" s="379"/>
      <c r="E61" s="379"/>
      <c r="M61" s="264"/>
      <c r="N61" s="264"/>
      <c r="O61" s="264"/>
      <c r="P61" s="264"/>
      <c r="Q61" s="264"/>
      <c r="R61" s="264"/>
      <c r="S61" s="264"/>
      <c r="T61" s="264"/>
    </row>
    <row r="62" spans="2:20" x14ac:dyDescent="0.15">
      <c r="M62" s="264"/>
      <c r="N62" s="264"/>
      <c r="O62" s="264"/>
      <c r="P62" s="264"/>
      <c r="Q62" s="264"/>
      <c r="R62" s="264"/>
      <c r="S62" s="264"/>
      <c r="T62" s="264"/>
    </row>
    <row r="63" spans="2:20" ht="15" customHeight="1" x14ac:dyDescent="0.15">
      <c r="B63" s="331" t="s">
        <v>213</v>
      </c>
      <c r="M63" s="264"/>
      <c r="N63" s="264"/>
      <c r="O63" s="264"/>
      <c r="P63" s="264"/>
      <c r="Q63" s="264"/>
      <c r="R63" s="264"/>
      <c r="S63" s="264"/>
      <c r="T63" s="264"/>
    </row>
    <row r="64" spans="2:20" ht="13.5" customHeight="1" x14ac:dyDescent="0.15">
      <c r="C64" s="379" t="s">
        <v>237</v>
      </c>
      <c r="D64" s="379"/>
      <c r="E64" s="379"/>
      <c r="F64" s="327"/>
      <c r="G64" s="327"/>
      <c r="H64" s="327"/>
      <c r="I64" s="327"/>
      <c r="M64" s="264"/>
      <c r="N64" s="264"/>
      <c r="O64" s="264"/>
      <c r="P64" s="264"/>
      <c r="Q64" s="264"/>
      <c r="R64" s="264"/>
      <c r="S64" s="264"/>
      <c r="T64" s="264"/>
    </row>
    <row r="65" spans="3:20" x14ac:dyDescent="0.15">
      <c r="C65" s="379"/>
      <c r="D65" s="379"/>
      <c r="E65" s="379"/>
      <c r="M65" s="264"/>
      <c r="N65" s="264"/>
      <c r="O65" s="264"/>
      <c r="P65" s="264"/>
      <c r="Q65" s="264"/>
      <c r="R65" s="264"/>
      <c r="S65" s="264"/>
      <c r="T65" s="264"/>
    </row>
    <row r="66" spans="3:20" x14ac:dyDescent="0.15">
      <c r="C66" s="379"/>
      <c r="D66" s="379"/>
      <c r="E66" s="379"/>
    </row>
    <row r="67" spans="3:20" x14ac:dyDescent="0.15">
      <c r="C67" s="379"/>
      <c r="D67" s="379"/>
      <c r="E67" s="379"/>
    </row>
    <row r="68" spans="3:20" x14ac:dyDescent="0.15">
      <c r="C68" s="379"/>
      <c r="D68" s="379"/>
      <c r="E68" s="379"/>
      <c r="M68" s="264"/>
      <c r="N68" s="264"/>
      <c r="O68" s="264"/>
      <c r="P68" s="264"/>
      <c r="Q68" s="264"/>
      <c r="R68" s="264"/>
      <c r="S68" s="264"/>
      <c r="T68" s="264"/>
    </row>
    <row r="69" spans="3:20" x14ac:dyDescent="0.15">
      <c r="C69" s="379"/>
      <c r="D69" s="379"/>
      <c r="E69" s="379"/>
      <c r="M69" s="264"/>
      <c r="N69" s="264"/>
      <c r="O69" s="264"/>
      <c r="P69" s="264"/>
      <c r="Q69" s="264"/>
      <c r="R69" s="264"/>
      <c r="S69" s="264"/>
      <c r="T69" s="264"/>
    </row>
    <row r="70" spans="3:20" x14ac:dyDescent="0.15">
      <c r="C70" s="379"/>
      <c r="D70" s="379"/>
      <c r="E70" s="379"/>
      <c r="M70" s="264"/>
      <c r="N70" s="264"/>
      <c r="O70" s="264"/>
      <c r="P70" s="264"/>
      <c r="Q70" s="264"/>
      <c r="R70" s="264"/>
      <c r="S70" s="264"/>
      <c r="T70" s="264"/>
    </row>
    <row r="71" spans="3:20" x14ac:dyDescent="0.15">
      <c r="C71" s="379"/>
      <c r="D71" s="379"/>
      <c r="E71" s="379"/>
      <c r="M71" s="264"/>
      <c r="N71" s="264"/>
      <c r="O71" s="264"/>
      <c r="P71" s="264"/>
      <c r="Q71" s="264"/>
      <c r="R71" s="264"/>
      <c r="S71" s="264"/>
      <c r="T71" s="264"/>
    </row>
    <row r="72" spans="3:20" x14ac:dyDescent="0.15">
      <c r="C72" s="379"/>
      <c r="D72" s="379"/>
      <c r="E72" s="379"/>
      <c r="M72" s="264"/>
      <c r="N72" s="264"/>
      <c r="O72" s="264"/>
      <c r="P72" s="264"/>
      <c r="Q72" s="264"/>
      <c r="R72" s="264"/>
      <c r="S72" s="264"/>
      <c r="T72" s="264"/>
    </row>
    <row r="73" spans="3:20" x14ac:dyDescent="0.15">
      <c r="C73" s="379"/>
      <c r="D73" s="379"/>
      <c r="E73" s="379"/>
      <c r="M73" s="264"/>
      <c r="N73" s="264"/>
      <c r="O73" s="264"/>
      <c r="P73" s="264"/>
      <c r="Q73" s="264"/>
      <c r="R73" s="264"/>
      <c r="S73" s="264"/>
      <c r="T73" s="264"/>
    </row>
    <row r="74" spans="3:20" x14ac:dyDescent="0.15">
      <c r="C74" s="379"/>
      <c r="D74" s="379"/>
      <c r="E74" s="379"/>
      <c r="M74" s="264"/>
      <c r="N74" s="264"/>
      <c r="O74" s="264"/>
      <c r="P74" s="264"/>
      <c r="Q74" s="264"/>
      <c r="R74" s="264"/>
      <c r="S74" s="264"/>
      <c r="T74" s="264"/>
    </row>
    <row r="75" spans="3:20" x14ac:dyDescent="0.15">
      <c r="C75" s="379"/>
      <c r="D75" s="379"/>
      <c r="E75" s="379"/>
      <c r="M75" s="264"/>
      <c r="N75" s="264"/>
      <c r="O75" s="264"/>
      <c r="P75" s="264"/>
      <c r="Q75" s="264"/>
      <c r="R75" s="264"/>
      <c r="S75" s="264"/>
      <c r="T75" s="264"/>
    </row>
    <row r="76" spans="3:20" x14ac:dyDescent="0.15">
      <c r="C76" s="379"/>
      <c r="D76" s="379"/>
      <c r="E76" s="379"/>
      <c r="M76" s="264"/>
      <c r="N76" s="264"/>
      <c r="O76" s="264"/>
      <c r="P76" s="264"/>
      <c r="Q76" s="264"/>
      <c r="R76" s="264"/>
      <c r="S76" s="264"/>
      <c r="T76" s="264"/>
    </row>
    <row r="77" spans="3:20" x14ac:dyDescent="0.15">
      <c r="C77" s="379"/>
      <c r="D77" s="379"/>
      <c r="E77" s="379"/>
      <c r="M77" s="264"/>
      <c r="N77" s="264"/>
      <c r="O77" s="264"/>
      <c r="P77" s="264"/>
      <c r="Q77" s="264"/>
      <c r="R77" s="264"/>
      <c r="S77" s="264"/>
      <c r="T77" s="264"/>
    </row>
    <row r="78" spans="3:20" x14ac:dyDescent="0.15">
      <c r="C78" s="379"/>
      <c r="D78" s="379"/>
      <c r="E78" s="379"/>
      <c r="M78" s="264"/>
      <c r="N78" s="264"/>
      <c r="O78" s="264"/>
      <c r="P78" s="264"/>
      <c r="Q78" s="264"/>
      <c r="R78" s="264"/>
      <c r="S78" s="264"/>
      <c r="T78" s="264"/>
    </row>
    <row r="79" spans="3:20" x14ac:dyDescent="0.15">
      <c r="C79" s="379"/>
      <c r="D79" s="379"/>
      <c r="E79" s="379"/>
      <c r="M79" s="264"/>
      <c r="N79" s="264"/>
      <c r="O79" s="264"/>
      <c r="P79" s="264"/>
      <c r="Q79" s="264"/>
      <c r="R79" s="264"/>
      <c r="S79" s="264"/>
      <c r="T79" s="264"/>
    </row>
    <row r="80" spans="3:20" x14ac:dyDescent="0.15">
      <c r="M80" s="264"/>
      <c r="N80" s="264"/>
      <c r="O80" s="264"/>
      <c r="P80" s="264"/>
      <c r="Q80" s="264"/>
      <c r="R80" s="264"/>
      <c r="S80" s="264"/>
      <c r="T80" s="264"/>
    </row>
    <row r="81" spans="2:20" ht="15" customHeight="1" x14ac:dyDescent="0.15">
      <c r="B81" s="331" t="s">
        <v>214</v>
      </c>
      <c r="M81" s="264"/>
      <c r="N81" s="264"/>
      <c r="O81" s="264"/>
      <c r="P81" s="264"/>
      <c r="Q81" s="264"/>
      <c r="R81" s="264"/>
      <c r="S81" s="264"/>
      <c r="T81" s="264"/>
    </row>
    <row r="82" spans="2:20" ht="13.5" customHeight="1" x14ac:dyDescent="0.15">
      <c r="C82" s="379" t="s">
        <v>239</v>
      </c>
      <c r="D82" s="379"/>
      <c r="E82" s="379"/>
      <c r="F82" s="327"/>
      <c r="G82" s="327"/>
      <c r="H82" s="327"/>
      <c r="I82" s="327"/>
      <c r="M82" s="264"/>
      <c r="N82" s="264"/>
      <c r="O82" s="264"/>
      <c r="P82" s="264"/>
      <c r="Q82" s="264"/>
      <c r="R82" s="264"/>
      <c r="S82" s="264"/>
      <c r="T82" s="264"/>
    </row>
    <row r="83" spans="2:20" ht="13.5" customHeight="1" x14ac:dyDescent="0.15">
      <c r="C83" s="379"/>
      <c r="D83" s="379"/>
      <c r="E83" s="379"/>
      <c r="F83" s="327"/>
      <c r="G83" s="327"/>
      <c r="H83" s="327"/>
      <c r="I83" s="327"/>
      <c r="M83" s="264"/>
      <c r="N83" s="264"/>
      <c r="O83" s="264"/>
      <c r="P83" s="264"/>
      <c r="Q83" s="264"/>
      <c r="R83" s="264"/>
      <c r="S83" s="264"/>
      <c r="T83" s="264"/>
    </row>
    <row r="84" spans="2:20" ht="13.5" customHeight="1" x14ac:dyDescent="0.15">
      <c r="C84" s="379"/>
      <c r="D84" s="379"/>
      <c r="E84" s="379"/>
      <c r="F84" s="327"/>
      <c r="G84" s="327"/>
      <c r="H84" s="327"/>
      <c r="I84" s="327"/>
      <c r="M84" s="264"/>
      <c r="N84" s="264"/>
      <c r="O84" s="264"/>
      <c r="P84" s="264"/>
      <c r="Q84" s="264"/>
      <c r="R84" s="264"/>
      <c r="S84" s="264"/>
      <c r="T84" s="264"/>
    </row>
    <row r="85" spans="2:20" ht="13.5" customHeight="1" x14ac:dyDescent="0.15">
      <c r="C85" s="379"/>
      <c r="D85" s="379"/>
      <c r="E85" s="379"/>
      <c r="F85" s="327"/>
      <c r="G85" s="327"/>
      <c r="H85" s="327"/>
      <c r="I85" s="327"/>
      <c r="M85" s="264"/>
      <c r="N85" s="264"/>
      <c r="O85" s="264"/>
      <c r="P85" s="264"/>
      <c r="Q85" s="264"/>
      <c r="R85" s="264"/>
      <c r="S85" s="264"/>
      <c r="T85" s="264"/>
    </row>
    <row r="86" spans="2:20" ht="13.5" customHeight="1" x14ac:dyDescent="0.15">
      <c r="C86" s="379"/>
      <c r="D86" s="379"/>
      <c r="E86" s="379"/>
      <c r="F86" s="327"/>
      <c r="G86" s="327"/>
      <c r="H86" s="327"/>
      <c r="I86" s="327"/>
    </row>
    <row r="87" spans="2:20" ht="13.5" customHeight="1" x14ac:dyDescent="0.15">
      <c r="C87" s="379"/>
      <c r="D87" s="379"/>
      <c r="E87" s="379"/>
      <c r="F87" s="327"/>
      <c r="G87" s="327"/>
      <c r="H87" s="327"/>
      <c r="I87" s="327"/>
    </row>
    <row r="88" spans="2:20" ht="13.5" customHeight="1" x14ac:dyDescent="0.15">
      <c r="C88" s="379"/>
      <c r="D88" s="379"/>
      <c r="E88" s="379"/>
      <c r="F88" s="327"/>
      <c r="G88" s="327"/>
      <c r="H88" s="327"/>
      <c r="I88" s="327"/>
      <c r="M88" s="264"/>
      <c r="N88" s="264"/>
      <c r="O88" s="264"/>
      <c r="P88" s="264"/>
      <c r="Q88" s="264"/>
      <c r="R88" s="264"/>
      <c r="S88" s="264"/>
      <c r="T88" s="264"/>
    </row>
    <row r="89" spans="2:20" ht="13.5" customHeight="1" x14ac:dyDescent="0.15">
      <c r="C89" s="379"/>
      <c r="D89" s="379"/>
      <c r="E89" s="379"/>
      <c r="F89" s="327"/>
      <c r="G89" s="327"/>
      <c r="H89" s="327"/>
      <c r="I89" s="327"/>
      <c r="M89" s="264"/>
      <c r="N89" s="264"/>
      <c r="O89" s="264"/>
      <c r="P89" s="264"/>
      <c r="Q89" s="264"/>
      <c r="R89" s="264"/>
      <c r="S89" s="264"/>
      <c r="T89" s="264"/>
    </row>
    <row r="90" spans="2:20" ht="13.5" customHeight="1" x14ac:dyDescent="0.15">
      <c r="C90" s="379"/>
      <c r="D90" s="379"/>
      <c r="E90" s="379"/>
      <c r="F90" s="327"/>
      <c r="G90" s="327"/>
      <c r="H90" s="327"/>
      <c r="I90" s="327"/>
      <c r="M90" s="264"/>
      <c r="N90" s="264"/>
      <c r="O90" s="264"/>
      <c r="P90" s="264"/>
      <c r="Q90" s="264"/>
      <c r="R90" s="264"/>
      <c r="S90" s="264"/>
      <c r="T90" s="264"/>
    </row>
    <row r="91" spans="2:20" ht="13.5" customHeight="1" x14ac:dyDescent="0.15">
      <c r="C91" s="379"/>
      <c r="D91" s="379"/>
      <c r="E91" s="379"/>
      <c r="F91" s="327"/>
      <c r="G91" s="327"/>
      <c r="H91" s="327"/>
      <c r="I91" s="327"/>
      <c r="M91" s="264"/>
      <c r="N91" s="264"/>
      <c r="O91" s="264"/>
      <c r="P91" s="264"/>
      <c r="Q91" s="264"/>
      <c r="R91" s="264"/>
      <c r="S91" s="264"/>
      <c r="T91" s="264"/>
    </row>
    <row r="92" spans="2:20" ht="13.5" customHeight="1" x14ac:dyDescent="0.15">
      <c r="C92" s="379"/>
      <c r="D92" s="379"/>
      <c r="E92" s="379"/>
      <c r="F92" s="327"/>
      <c r="G92" s="327"/>
      <c r="H92" s="327"/>
      <c r="I92" s="327"/>
      <c r="M92" s="264"/>
      <c r="N92" s="264"/>
      <c r="O92" s="264"/>
      <c r="P92" s="264"/>
      <c r="Q92" s="264"/>
      <c r="R92" s="264"/>
      <c r="S92" s="264"/>
      <c r="T92" s="264"/>
    </row>
    <row r="93" spans="2:20" ht="13.5" customHeight="1" x14ac:dyDescent="0.15">
      <c r="C93" s="379"/>
      <c r="D93" s="379"/>
      <c r="E93" s="379"/>
      <c r="F93" s="327"/>
      <c r="G93" s="327"/>
      <c r="H93" s="327"/>
      <c r="I93" s="327"/>
      <c r="M93" s="264"/>
      <c r="N93" s="264"/>
      <c r="O93" s="264"/>
      <c r="P93" s="264"/>
      <c r="Q93" s="264"/>
      <c r="R93" s="264"/>
      <c r="S93" s="264"/>
      <c r="T93" s="264"/>
    </row>
    <row r="94" spans="2:20" ht="13.5" customHeight="1" x14ac:dyDescent="0.15">
      <c r="C94" s="379"/>
      <c r="D94" s="379"/>
      <c r="E94" s="379"/>
      <c r="F94" s="327"/>
      <c r="G94" s="327"/>
      <c r="H94" s="327"/>
      <c r="I94" s="327"/>
      <c r="M94" s="264"/>
      <c r="N94" s="264"/>
      <c r="O94" s="264"/>
      <c r="P94" s="264"/>
      <c r="Q94" s="264"/>
      <c r="R94" s="264"/>
      <c r="S94" s="264"/>
      <c r="T94" s="264"/>
    </row>
    <row r="95" spans="2:20" ht="13.5" customHeight="1" x14ac:dyDescent="0.15">
      <c r="C95" s="379"/>
      <c r="D95" s="379"/>
      <c r="E95" s="379"/>
      <c r="F95" s="327"/>
      <c r="G95" s="327"/>
      <c r="H95" s="327"/>
      <c r="I95" s="327"/>
      <c r="M95" s="264"/>
      <c r="N95" s="264"/>
      <c r="O95" s="264"/>
      <c r="P95" s="264"/>
      <c r="Q95" s="264"/>
      <c r="R95" s="264"/>
      <c r="S95" s="264"/>
      <c r="T95" s="264"/>
    </row>
    <row r="96" spans="2:20" ht="13.5" customHeight="1" x14ac:dyDescent="0.15">
      <c r="C96" s="379"/>
      <c r="D96" s="379"/>
      <c r="E96" s="379"/>
      <c r="F96" s="327"/>
      <c r="G96" s="327"/>
      <c r="H96" s="327"/>
      <c r="I96" s="327"/>
      <c r="M96" s="264"/>
      <c r="N96" s="264"/>
      <c r="O96" s="264"/>
      <c r="P96" s="264"/>
      <c r="Q96" s="264"/>
      <c r="R96" s="264"/>
      <c r="S96" s="264"/>
      <c r="T96" s="264"/>
    </row>
    <row r="97" spans="2:20" ht="13.5" customHeight="1" x14ac:dyDescent="0.15">
      <c r="C97" s="379"/>
      <c r="D97" s="379"/>
      <c r="E97" s="379"/>
      <c r="F97" s="327"/>
      <c r="G97" s="327"/>
      <c r="H97" s="327"/>
      <c r="I97" s="327"/>
      <c r="M97" s="264"/>
      <c r="N97" s="264"/>
      <c r="O97" s="264"/>
      <c r="P97" s="264"/>
      <c r="Q97" s="264"/>
      <c r="R97" s="264"/>
      <c r="S97" s="264"/>
      <c r="T97" s="264"/>
    </row>
    <row r="98" spans="2:20" ht="13.5" customHeight="1" x14ac:dyDescent="0.15">
      <c r="C98" s="327"/>
      <c r="D98" s="327"/>
      <c r="E98" s="327"/>
      <c r="F98" s="327"/>
      <c r="G98" s="327"/>
      <c r="H98" s="327"/>
      <c r="I98" s="327"/>
      <c r="M98" s="264"/>
      <c r="N98" s="264"/>
      <c r="O98" s="264"/>
      <c r="P98" s="264"/>
      <c r="Q98" s="264"/>
      <c r="R98" s="264"/>
      <c r="S98" s="264"/>
      <c r="T98" s="264"/>
    </row>
    <row r="99" spans="2:20" ht="15" customHeight="1" x14ac:dyDescent="0.15">
      <c r="B99" s="331" t="s">
        <v>215</v>
      </c>
      <c r="M99" s="264"/>
      <c r="N99" s="264"/>
      <c r="O99" s="264"/>
      <c r="P99" s="264"/>
      <c r="Q99" s="264"/>
      <c r="R99" s="264"/>
      <c r="S99" s="264"/>
      <c r="T99" s="264"/>
    </row>
    <row r="100" spans="2:20" ht="30" customHeight="1" x14ac:dyDescent="0.15">
      <c r="C100" s="381" t="s">
        <v>238</v>
      </c>
      <c r="D100" s="381"/>
      <c r="E100" s="381"/>
      <c r="F100" s="328"/>
      <c r="G100" s="328"/>
      <c r="H100" s="328"/>
      <c r="I100" s="328"/>
      <c r="M100" s="264"/>
      <c r="N100" s="264"/>
      <c r="O100" s="264"/>
      <c r="P100" s="264"/>
      <c r="Q100" s="264"/>
      <c r="R100" s="264"/>
      <c r="S100" s="264"/>
      <c r="T100" s="264"/>
    </row>
    <row r="101" spans="2:20" ht="13.5" customHeight="1" x14ac:dyDescent="0.15">
      <c r="C101" s="381"/>
      <c r="D101" s="381"/>
      <c r="E101" s="381"/>
      <c r="F101" s="328"/>
      <c r="G101" s="328"/>
      <c r="H101" s="328"/>
      <c r="I101" s="328"/>
      <c r="M101" s="264"/>
      <c r="N101" s="264"/>
      <c r="O101" s="264"/>
      <c r="P101" s="264"/>
      <c r="Q101" s="264"/>
      <c r="R101" s="264"/>
      <c r="S101" s="264"/>
      <c r="T101" s="264"/>
    </row>
    <row r="102" spans="2:20" ht="13.5" customHeight="1" x14ac:dyDescent="0.15">
      <c r="C102" s="381"/>
      <c r="D102" s="381"/>
      <c r="E102" s="381"/>
      <c r="F102" s="328"/>
      <c r="G102" s="328"/>
      <c r="H102" s="328"/>
      <c r="I102" s="328"/>
      <c r="M102" s="264"/>
      <c r="N102" s="264"/>
      <c r="O102" s="264"/>
      <c r="P102" s="264"/>
      <c r="Q102" s="264"/>
      <c r="R102" s="264"/>
      <c r="S102" s="264"/>
      <c r="T102" s="264"/>
    </row>
    <row r="103" spans="2:20" ht="13.5" customHeight="1" x14ac:dyDescent="0.15">
      <c r="C103" s="381"/>
      <c r="D103" s="381"/>
      <c r="E103" s="381"/>
      <c r="F103" s="328"/>
      <c r="G103" s="328"/>
      <c r="H103" s="328"/>
      <c r="I103" s="328"/>
      <c r="M103" s="264"/>
      <c r="N103" s="264"/>
      <c r="O103" s="264"/>
      <c r="P103" s="264"/>
      <c r="Q103" s="264"/>
      <c r="R103" s="264"/>
      <c r="S103" s="264"/>
      <c r="T103" s="264"/>
    </row>
    <row r="104" spans="2:20" ht="13.5" customHeight="1" x14ac:dyDescent="0.15">
      <c r="C104" s="381"/>
      <c r="D104" s="381"/>
      <c r="E104" s="381"/>
      <c r="F104" s="328"/>
      <c r="G104" s="328"/>
      <c r="H104" s="328"/>
      <c r="I104" s="328"/>
      <c r="M104" s="264"/>
      <c r="N104" s="264"/>
      <c r="O104" s="264"/>
      <c r="P104" s="264"/>
      <c r="Q104" s="264"/>
      <c r="R104" s="264"/>
      <c r="S104" s="264"/>
      <c r="T104" s="264"/>
    </row>
    <row r="105" spans="2:20" ht="13.5" customHeight="1" x14ac:dyDescent="0.15">
      <c r="C105" s="381"/>
      <c r="D105" s="381"/>
      <c r="E105" s="381"/>
      <c r="F105" s="328"/>
      <c r="G105" s="328"/>
      <c r="H105" s="328"/>
      <c r="I105" s="328"/>
      <c r="M105" s="264"/>
      <c r="N105" s="264"/>
      <c r="O105" s="264"/>
      <c r="P105" s="264"/>
      <c r="Q105" s="264"/>
      <c r="R105" s="264"/>
      <c r="S105" s="264"/>
      <c r="T105" s="264"/>
    </row>
    <row r="106" spans="2:20" ht="13.5" customHeight="1" x14ac:dyDescent="0.15">
      <c r="C106" s="381"/>
      <c r="D106" s="381"/>
      <c r="E106" s="381"/>
      <c r="F106" s="328"/>
      <c r="G106" s="328"/>
      <c r="H106" s="328"/>
      <c r="I106" s="328"/>
    </row>
    <row r="107" spans="2:20" ht="13.5" customHeight="1" x14ac:dyDescent="0.15">
      <c r="C107" s="381"/>
      <c r="D107" s="381"/>
      <c r="E107" s="381"/>
      <c r="F107" s="328"/>
      <c r="G107" s="328"/>
      <c r="H107" s="328"/>
      <c r="I107" s="328"/>
    </row>
    <row r="108" spans="2:20" ht="13.5" customHeight="1" x14ac:dyDescent="0.15">
      <c r="C108" s="381"/>
      <c r="D108" s="381"/>
      <c r="E108" s="381"/>
      <c r="F108" s="328"/>
      <c r="G108" s="328"/>
      <c r="H108" s="328"/>
      <c r="I108" s="328"/>
    </row>
    <row r="109" spans="2:20" ht="13.5" customHeight="1" x14ac:dyDescent="0.15">
      <c r="C109" s="381"/>
      <c r="D109" s="381"/>
      <c r="E109" s="381"/>
      <c r="F109" s="328"/>
      <c r="G109" s="328"/>
      <c r="H109" s="328"/>
      <c r="I109" s="328"/>
    </row>
    <row r="110" spans="2:20" ht="13.5" customHeight="1" x14ac:dyDescent="0.15">
      <c r="C110" s="381"/>
      <c r="D110" s="381"/>
      <c r="E110" s="381"/>
      <c r="F110" s="328"/>
      <c r="G110" s="328"/>
      <c r="H110" s="328"/>
      <c r="I110" s="328"/>
    </row>
    <row r="111" spans="2:20" ht="13.5" customHeight="1" x14ac:dyDescent="0.15">
      <c r="C111" s="381"/>
      <c r="D111" s="381"/>
      <c r="E111" s="381"/>
      <c r="F111" s="328"/>
      <c r="G111" s="328"/>
      <c r="H111" s="328"/>
      <c r="I111" s="328"/>
    </row>
    <row r="112" spans="2:20" ht="13.5" customHeight="1" x14ac:dyDescent="0.15">
      <c r="C112" s="381"/>
      <c r="D112" s="381"/>
      <c r="E112" s="381"/>
      <c r="F112" s="328"/>
      <c r="G112" s="328"/>
      <c r="H112" s="328"/>
      <c r="I112" s="328"/>
    </row>
    <row r="113" spans="2:9" ht="13.5" customHeight="1" x14ac:dyDescent="0.15">
      <c r="C113" s="381"/>
      <c r="D113" s="381"/>
      <c r="E113" s="381"/>
      <c r="F113" s="328"/>
      <c r="G113" s="328"/>
      <c r="H113" s="328"/>
      <c r="I113" s="328"/>
    </row>
    <row r="114" spans="2:9" ht="13.5" customHeight="1" x14ac:dyDescent="0.15">
      <c r="C114" s="381"/>
      <c r="D114" s="381"/>
      <c r="E114" s="381"/>
      <c r="F114" s="328"/>
      <c r="G114" s="328"/>
      <c r="H114" s="328"/>
      <c r="I114" s="328"/>
    </row>
    <row r="115" spans="2:9" x14ac:dyDescent="0.15">
      <c r="B115" s="317"/>
    </row>
    <row r="116" spans="2:9" ht="15" customHeight="1" x14ac:dyDescent="0.15">
      <c r="B116" s="332" t="s">
        <v>201</v>
      </c>
    </row>
    <row r="117" spans="2:9" ht="13.5" customHeight="1" x14ac:dyDescent="0.15">
      <c r="C117" s="380" t="s">
        <v>240</v>
      </c>
      <c r="D117" s="380"/>
      <c r="E117" s="380"/>
      <c r="F117" s="327"/>
      <c r="G117" s="327"/>
      <c r="H117" s="327"/>
      <c r="I117" s="327"/>
    </row>
    <row r="118" spans="2:9" x14ac:dyDescent="0.15">
      <c r="C118" s="380"/>
      <c r="D118" s="380"/>
      <c r="E118" s="380"/>
    </row>
    <row r="119" spans="2:9" x14ac:dyDescent="0.15">
      <c r="C119" s="380"/>
      <c r="D119" s="380"/>
      <c r="E119" s="380"/>
    </row>
    <row r="120" spans="2:9" x14ac:dyDescent="0.15">
      <c r="C120" s="380"/>
      <c r="D120" s="380"/>
      <c r="E120" s="380"/>
    </row>
    <row r="121" spans="2:9" x14ac:dyDescent="0.15">
      <c r="C121" s="380"/>
      <c r="D121" s="380"/>
      <c r="E121" s="380"/>
    </row>
    <row r="122" spans="2:9" x14ac:dyDescent="0.15">
      <c r="C122" s="380"/>
      <c r="D122" s="380"/>
      <c r="E122" s="380"/>
    </row>
    <row r="124" spans="2:9" ht="13.5" customHeight="1" x14ac:dyDescent="0.15">
      <c r="B124" s="330" t="s">
        <v>216</v>
      </c>
      <c r="D124" s="325"/>
      <c r="E124" s="325"/>
      <c r="F124" s="325"/>
      <c r="G124" s="325"/>
      <c r="H124" s="325"/>
      <c r="I124" s="325"/>
    </row>
    <row r="150" spans="1:3" x14ac:dyDescent="0.15">
      <c r="A150" s="373">
        <v>42326</v>
      </c>
      <c r="B150" s="374"/>
      <c r="C150" s="374"/>
    </row>
  </sheetData>
  <sheetProtection password="CEE3" sheet="1" objects="1" scenarios="1"/>
  <mergeCells count="11">
    <mergeCell ref="A150:C150"/>
    <mergeCell ref="B4:J4"/>
    <mergeCell ref="A1:J1"/>
    <mergeCell ref="C8:E23"/>
    <mergeCell ref="C46:E61"/>
    <mergeCell ref="H24:J24"/>
    <mergeCell ref="C117:E122"/>
    <mergeCell ref="C64:E79"/>
    <mergeCell ref="C82:E97"/>
    <mergeCell ref="C100:E114"/>
    <mergeCell ref="C24:F24"/>
  </mergeCells>
  <phoneticPr fontId="4"/>
  <pageMargins left="0.47244094488188981" right="0.23622047244094491" top="0.55118110236220474" bottom="0.23622047244094491" header="0.19685039370078741" footer="0.19685039370078741"/>
  <pageSetup paperSize="9" scale="97" orientation="portrait" r:id="rId1"/>
  <headerFooter>
    <oddHeader>&amp;RTM２１５９６&amp;G　　（&amp;P/8)
　</oddHeader>
    <oddFooter>&amp;R&amp;"ＭＳ Ｐゴシック,太字"&amp;12&amp;G</oddFooter>
  </headerFooter>
  <rowBreaks count="1" manualBreakCount="1">
    <brk id="61"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00FF"/>
  </sheetPr>
  <dimension ref="F1:BI87"/>
  <sheetViews>
    <sheetView view="pageBreakPreview" zoomScaleNormal="100" zoomScaleSheetLayoutView="100" workbookViewId="0">
      <selection activeCell="J58" activeCellId="1" sqref="G58 J58"/>
    </sheetView>
  </sheetViews>
  <sheetFormatPr defaultRowHeight="13.5" x14ac:dyDescent="0.15"/>
  <cols>
    <col min="1" max="5" width="9" style="2"/>
    <col min="6" max="6" width="4.5" style="2" customWidth="1"/>
    <col min="7" max="16" width="9" style="2"/>
    <col min="17" max="17" width="4.5" style="2" customWidth="1"/>
    <col min="18" max="18" width="9" style="2" customWidth="1"/>
    <col min="19" max="38" width="9" style="2"/>
    <col min="39" max="39" width="20.625" style="2" customWidth="1"/>
    <col min="40" max="51" width="9" style="2" customWidth="1"/>
    <col min="52" max="16384" width="9" style="2"/>
  </cols>
  <sheetData>
    <row r="1" spans="6:61" ht="19.5" customHeight="1" x14ac:dyDescent="0.15">
      <c r="F1" s="3"/>
      <c r="G1" s="382" t="s">
        <v>221</v>
      </c>
      <c r="H1" s="383"/>
      <c r="I1" s="383"/>
      <c r="J1" s="383"/>
      <c r="K1" s="384"/>
      <c r="L1" s="318"/>
      <c r="M1" s="318"/>
      <c r="N1" s="318"/>
      <c r="O1" s="3"/>
      <c r="P1" s="3"/>
      <c r="Q1" s="3"/>
      <c r="R1" s="3"/>
      <c r="T1" s="3"/>
      <c r="U1" s="3"/>
      <c r="V1" s="3"/>
      <c r="W1" s="3"/>
      <c r="X1" s="3"/>
      <c r="Y1" s="3"/>
      <c r="Z1" s="3"/>
      <c r="AA1" s="3"/>
      <c r="AB1" s="3"/>
      <c r="AC1" s="248"/>
      <c r="AD1" s="248"/>
      <c r="AE1" s="248"/>
      <c r="AF1" s="248"/>
      <c r="AG1" s="248"/>
      <c r="AH1" s="248"/>
      <c r="AI1" s="248"/>
      <c r="AJ1" s="248"/>
      <c r="AK1" s="248"/>
      <c r="AL1" s="3"/>
      <c r="AM1" s="3"/>
      <c r="AN1" s="4"/>
      <c r="AO1" s="4"/>
      <c r="AP1" s="4"/>
      <c r="AQ1" s="4"/>
      <c r="AR1" s="4"/>
      <c r="AS1" s="4"/>
      <c r="AT1" s="4"/>
      <c r="AU1" s="4"/>
      <c r="AV1" s="4"/>
      <c r="AW1" s="4"/>
      <c r="AX1" s="4"/>
      <c r="AY1" s="3"/>
      <c r="AZ1" s="3"/>
      <c r="BA1" s="3"/>
      <c r="BB1" s="3"/>
      <c r="BC1" s="3"/>
      <c r="BD1" s="3"/>
      <c r="BE1" s="3"/>
      <c r="BF1" s="3"/>
      <c r="BG1" s="3"/>
      <c r="BH1" s="3"/>
      <c r="BI1" s="3"/>
    </row>
    <row r="2" spans="6:61" ht="12" customHeight="1" thickBot="1" x14ac:dyDescent="0.2">
      <c r="F2" s="5"/>
      <c r="G2" s="5"/>
      <c r="H2" s="5"/>
      <c r="I2" s="5"/>
      <c r="J2" s="5"/>
      <c r="K2" s="5"/>
      <c r="L2" s="5"/>
      <c r="M2" s="5"/>
      <c r="N2" s="5"/>
      <c r="O2" s="5"/>
      <c r="P2" s="5"/>
      <c r="Q2" s="5"/>
      <c r="R2" s="5"/>
      <c r="T2" s="3"/>
      <c r="U2" s="5"/>
      <c r="V2" s="5"/>
      <c r="W2" s="5"/>
      <c r="X2" s="5"/>
      <c r="Y2" s="5"/>
      <c r="Z2" s="5"/>
      <c r="AA2" s="5"/>
      <c r="AB2" s="5"/>
      <c r="AC2" s="248"/>
      <c r="AD2" s="248"/>
      <c r="AE2" s="248"/>
      <c r="AF2" s="248"/>
      <c r="AG2" s="248"/>
      <c r="AH2" s="248"/>
      <c r="AI2" s="248"/>
      <c r="AJ2" s="248"/>
      <c r="AK2" s="248"/>
      <c r="AL2" s="3"/>
      <c r="AM2" s="3"/>
      <c r="AN2" s="4"/>
      <c r="AO2" s="4"/>
      <c r="AP2" s="4"/>
      <c r="AQ2" s="4"/>
      <c r="AR2" s="4"/>
      <c r="AS2" s="4"/>
      <c r="AT2" s="4"/>
      <c r="AU2" s="4"/>
      <c r="AV2" s="4"/>
      <c r="AW2" s="4"/>
      <c r="AX2" s="4"/>
      <c r="AY2" s="3"/>
      <c r="AZ2" s="3"/>
      <c r="BA2" s="3"/>
      <c r="BB2" s="3"/>
      <c r="BC2" s="3"/>
      <c r="BD2" s="3"/>
      <c r="BE2" s="3"/>
      <c r="BF2" s="3"/>
      <c r="BG2" s="3"/>
      <c r="BH2" s="3"/>
      <c r="BI2" s="3"/>
    </row>
    <row r="3" spans="6:61" ht="14.25" thickBot="1" x14ac:dyDescent="0.2">
      <c r="F3" s="5"/>
      <c r="G3" s="315" t="s">
        <v>95</v>
      </c>
      <c r="H3" s="385"/>
      <c r="I3" s="385"/>
      <c r="J3" s="386"/>
      <c r="K3" s="5"/>
      <c r="L3" s="304" t="s">
        <v>187</v>
      </c>
      <c r="M3" s="303" t="s">
        <v>94</v>
      </c>
      <c r="N3" s="3" t="str">
        <f>IF(M3="","",VLOOKUP(M3,AM47:AP52,2,0))</f>
        <v>水道用硬質ポリ塩化ビニル管</v>
      </c>
      <c r="O3" s="6"/>
      <c r="P3" s="5"/>
      <c r="Q3" s="5"/>
      <c r="R3" s="5"/>
      <c r="S3" s="5"/>
      <c r="T3" s="7"/>
      <c r="U3" s="7"/>
      <c r="V3" s="7"/>
      <c r="W3" s="7"/>
      <c r="X3" s="7"/>
      <c r="Y3" s="7"/>
      <c r="Z3" s="7"/>
      <c r="AA3" s="7"/>
      <c r="AB3" s="5"/>
      <c r="AC3" s="248"/>
      <c r="AD3" s="248"/>
      <c r="AE3" s="248"/>
      <c r="AF3" s="248"/>
      <c r="AG3" s="248"/>
      <c r="AH3" s="248"/>
      <c r="AI3" s="248"/>
      <c r="AJ3" s="248"/>
      <c r="AK3" s="248"/>
      <c r="AL3" s="3"/>
      <c r="AM3" s="3" t="s">
        <v>96</v>
      </c>
      <c r="AN3" s="4"/>
      <c r="AO3" s="4"/>
      <c r="AP3" s="4"/>
      <c r="AQ3" s="4"/>
      <c r="AR3" s="4"/>
      <c r="AS3" s="4"/>
      <c r="AT3" s="4"/>
      <c r="AU3" s="4"/>
      <c r="AV3" s="4"/>
      <c r="AW3" s="4"/>
      <c r="AX3" s="4"/>
      <c r="AY3" s="3"/>
      <c r="AZ3" s="3"/>
      <c r="BA3" s="3"/>
      <c r="BB3" s="3"/>
      <c r="BC3" s="3"/>
      <c r="BD3" s="3"/>
      <c r="BE3" s="3"/>
      <c r="BF3" s="3"/>
      <c r="BG3" s="3"/>
      <c r="BH3" s="3"/>
      <c r="BI3" s="3"/>
    </row>
    <row r="4" spans="6:61" ht="14.25" thickBot="1" x14ac:dyDescent="0.2">
      <c r="F4" s="5"/>
      <c r="G4" s="353" t="s">
        <v>125</v>
      </c>
      <c r="H4" s="10"/>
      <c r="I4" s="364" t="str">
        <f>IF(J4="","階","階　－　")</f>
        <v>階</v>
      </c>
      <c r="J4" s="11"/>
      <c r="K4" s="3" t="s">
        <v>232</v>
      </c>
      <c r="L4" s="46"/>
      <c r="M4" s="204"/>
      <c r="N4" s="3"/>
      <c r="O4" s="6"/>
      <c r="P4" s="5"/>
      <c r="Q4" s="5"/>
      <c r="R4" s="5"/>
      <c r="S4" s="5"/>
      <c r="T4" s="7"/>
      <c r="U4" s="7"/>
      <c r="V4" s="7"/>
      <c r="W4" s="7"/>
      <c r="X4" s="7"/>
      <c r="Y4" s="7"/>
      <c r="Z4" s="7"/>
      <c r="AA4" s="7"/>
      <c r="AB4" s="5"/>
      <c r="AC4" s="248"/>
      <c r="AD4" s="248"/>
      <c r="AE4" s="248"/>
      <c r="AF4" s="248"/>
      <c r="AG4" s="248"/>
      <c r="AH4" s="248"/>
      <c r="AI4" s="248"/>
      <c r="AJ4" s="248"/>
      <c r="AK4" s="248"/>
      <c r="AL4" s="3"/>
      <c r="AM4" s="3"/>
      <c r="AN4" s="4"/>
      <c r="AO4" s="4"/>
      <c r="AP4" s="4"/>
      <c r="AQ4" s="4"/>
      <c r="AR4" s="4"/>
      <c r="AS4" s="4"/>
      <c r="AT4" s="4"/>
      <c r="AU4" s="4"/>
      <c r="AV4" s="4"/>
      <c r="AW4" s="4"/>
      <c r="AX4" s="4"/>
      <c r="AY4" s="3"/>
      <c r="AZ4" s="3"/>
      <c r="BA4" s="3"/>
      <c r="BB4" s="3"/>
      <c r="BC4" s="3"/>
      <c r="BD4" s="3"/>
      <c r="BE4" s="3"/>
      <c r="BF4" s="3"/>
      <c r="BG4" s="3"/>
      <c r="BH4" s="3"/>
      <c r="BI4" s="3"/>
    </row>
    <row r="5" spans="6:61" ht="12" customHeight="1" thickBot="1" x14ac:dyDescent="0.2">
      <c r="F5" s="5"/>
      <c r="G5" s="8"/>
      <c r="H5" s="354"/>
      <c r="I5" s="9"/>
      <c r="J5" s="9"/>
      <c r="K5" s="5"/>
      <c r="L5" s="5"/>
      <c r="M5" s="5"/>
      <c r="N5" s="5"/>
      <c r="O5" s="3"/>
      <c r="P5" s="5"/>
      <c r="Q5" s="5"/>
      <c r="R5" s="5"/>
      <c r="S5" s="5"/>
      <c r="T5" s="7"/>
      <c r="U5" s="7"/>
      <c r="V5" s="7"/>
      <c r="W5" s="7"/>
      <c r="X5" s="7"/>
      <c r="Y5" s="7"/>
      <c r="Z5" s="7"/>
      <c r="AA5" s="7"/>
      <c r="AB5" s="5"/>
      <c r="AC5" s="248"/>
      <c r="AD5" s="248"/>
      <c r="AE5" s="248"/>
      <c r="AF5" s="248"/>
      <c r="AG5" s="248"/>
      <c r="AH5" s="248"/>
      <c r="AI5" s="248"/>
      <c r="AJ5" s="248"/>
      <c r="AK5" s="248"/>
      <c r="AL5" s="3"/>
      <c r="AM5" s="3" t="s">
        <v>97</v>
      </c>
      <c r="AN5" s="4"/>
      <c r="AO5" s="4"/>
      <c r="AP5" s="4"/>
      <c r="AQ5" s="4"/>
      <c r="AR5" s="4"/>
      <c r="AS5" s="4"/>
      <c r="AT5" s="4"/>
      <c r="AU5" s="4"/>
      <c r="AV5" s="4"/>
      <c r="AW5" s="4"/>
      <c r="AX5" s="4"/>
      <c r="AY5" s="3"/>
      <c r="AZ5" s="3"/>
      <c r="BA5" s="3"/>
      <c r="BB5" s="3"/>
      <c r="BC5" s="3"/>
      <c r="BD5" s="3"/>
      <c r="BE5" s="3"/>
      <c r="BF5" s="3"/>
      <c r="BG5" s="3"/>
      <c r="BH5" s="3"/>
      <c r="BI5" s="3"/>
    </row>
    <row r="6" spans="6:61" ht="14.25" thickBot="1" x14ac:dyDescent="0.2">
      <c r="F6" s="5"/>
      <c r="G6" s="326" t="s">
        <v>222</v>
      </c>
      <c r="H6" s="301"/>
      <c r="I6" s="301"/>
      <c r="J6" s="302"/>
      <c r="K6" s="5"/>
      <c r="L6" s="5"/>
      <c r="M6" s="5"/>
      <c r="N6" s="5"/>
      <c r="O6" s="3"/>
      <c r="P6" s="5"/>
      <c r="Q6" s="5"/>
      <c r="R6" s="5"/>
      <c r="S6" s="5"/>
      <c r="T6" s="7"/>
      <c r="U6" s="7"/>
      <c r="V6" s="7"/>
      <c r="W6" s="7"/>
      <c r="X6" s="7"/>
      <c r="Y6" s="7"/>
      <c r="Z6" s="7"/>
      <c r="AA6" s="7"/>
      <c r="AB6" s="5"/>
      <c r="AC6" s="248"/>
      <c r="AD6" s="248"/>
      <c r="AE6" s="248"/>
      <c r="AF6" s="248"/>
      <c r="AG6" s="248"/>
      <c r="AH6" s="248"/>
      <c r="AI6" s="248"/>
      <c r="AJ6" s="248"/>
      <c r="AK6" s="248"/>
      <c r="AL6" s="3"/>
      <c r="AM6" s="3"/>
      <c r="AN6" s="4"/>
      <c r="AO6" s="4"/>
      <c r="AP6" s="4"/>
      <c r="AQ6" s="4"/>
      <c r="AR6" s="4"/>
      <c r="AS6" s="4"/>
      <c r="AT6" s="4"/>
      <c r="AU6" s="4"/>
      <c r="AV6" s="4"/>
      <c r="AW6" s="4"/>
      <c r="AX6" s="4"/>
      <c r="AY6" s="3"/>
      <c r="AZ6" s="3"/>
      <c r="BA6" s="3"/>
      <c r="BB6" s="3"/>
      <c r="BC6" s="3"/>
      <c r="BD6" s="3"/>
      <c r="BE6" s="3"/>
      <c r="BF6" s="3"/>
      <c r="BG6" s="3"/>
      <c r="BH6" s="3"/>
      <c r="BI6" s="3"/>
    </row>
    <row r="7" spans="6:61" x14ac:dyDescent="0.15">
      <c r="F7" s="5"/>
      <c r="G7" s="300"/>
      <c r="H7" s="9"/>
      <c r="I7" s="9"/>
      <c r="J7" s="9"/>
      <c r="K7" s="279"/>
      <c r="L7" s="279"/>
      <c r="M7" s="279"/>
      <c r="N7" s="279"/>
      <c r="O7" s="279"/>
      <c r="P7" s="280"/>
      <c r="Q7" s="5"/>
      <c r="R7" s="5"/>
      <c r="S7" s="5"/>
      <c r="T7" s="7"/>
      <c r="U7" s="7"/>
      <c r="V7" s="7"/>
      <c r="W7" s="7"/>
      <c r="X7" s="7"/>
      <c r="Y7" s="7"/>
      <c r="Z7" s="7"/>
      <c r="AA7" s="7"/>
      <c r="AB7" s="5"/>
      <c r="AC7" s="248"/>
      <c r="AD7" s="248"/>
      <c r="AE7" s="248"/>
      <c r="AF7" s="248"/>
      <c r="AG7" s="248"/>
      <c r="AH7" s="248"/>
      <c r="AI7" s="248"/>
      <c r="AJ7" s="248"/>
      <c r="AK7" s="248"/>
      <c r="AL7" s="3"/>
      <c r="AN7" s="3"/>
      <c r="AO7" s="4"/>
      <c r="AP7" s="4"/>
      <c r="AQ7" s="4"/>
      <c r="AR7" s="4"/>
      <c r="AS7" s="4"/>
      <c r="AT7" s="4"/>
      <c r="AU7" s="4"/>
      <c r="AV7" s="4"/>
      <c r="AW7" s="4"/>
      <c r="AX7" s="4"/>
      <c r="AY7" s="3"/>
      <c r="AZ7" s="3"/>
      <c r="BA7" s="3"/>
      <c r="BB7" s="3"/>
      <c r="BC7" s="3"/>
      <c r="BD7" s="3"/>
      <c r="BE7" s="3"/>
      <c r="BF7" s="3"/>
      <c r="BG7" s="3"/>
      <c r="BH7" s="3"/>
      <c r="BI7" s="3"/>
    </row>
    <row r="8" spans="6:61" x14ac:dyDescent="0.15">
      <c r="F8" s="5"/>
      <c r="G8" s="347" t="s">
        <v>224</v>
      </c>
      <c r="H8" s="30"/>
      <c r="I8" s="7"/>
      <c r="J8" s="7"/>
      <c r="K8" s="7"/>
      <c r="L8" s="220" t="s">
        <v>225</v>
      </c>
      <c r="M8" s="45"/>
      <c r="N8" s="43"/>
      <c r="O8" s="43"/>
      <c r="P8" s="294"/>
      <c r="Q8" s="9"/>
      <c r="R8"/>
      <c r="S8" s="8"/>
      <c r="T8" s="9"/>
      <c r="U8" s="9"/>
      <c r="V8" s="9"/>
      <c r="W8" s="9"/>
      <c r="X8" s="9"/>
      <c r="Y8" s="9"/>
      <c r="Z8" s="9"/>
      <c r="AA8" s="9"/>
      <c r="AB8" s="9"/>
      <c r="AC8" s="249"/>
      <c r="AD8" s="249"/>
      <c r="AE8" s="250"/>
      <c r="AF8" s="250"/>
      <c r="AG8" s="251"/>
      <c r="AH8" s="249"/>
      <c r="AI8" s="249"/>
      <c r="AJ8" s="250"/>
      <c r="AK8" s="250"/>
      <c r="AL8" s="3"/>
      <c r="AM8" s="2" t="str">
        <f>IF(OR(J21&gt;=50,O22&gt;=50),"×",IF(OR(J21&gt;=30,O22&gt;=30),"△","○"))</f>
        <v>○</v>
      </c>
      <c r="AN8" s="3" t="str">
        <f>IF(OR(J21&gt;=50,O22&gt;=50),"配管容量が大きすぎます。電動弁の系統を分けてください。",IF(OR(J21&gt;=30,O22&gt;=30),"配管容量が大きいため、給水圧力が不足するおそれがあります。電動弁の系統を分けることを推奨します。","配管容量は適切です。"))</f>
        <v>配管容量は適切です。</v>
      </c>
      <c r="AO8" s="4"/>
      <c r="AP8" s="4"/>
      <c r="AQ8" s="4"/>
      <c r="AR8" s="4"/>
      <c r="AS8" s="4"/>
      <c r="AT8" s="4"/>
      <c r="AU8" s="4"/>
      <c r="AV8" s="4"/>
      <c r="AW8" s="4"/>
      <c r="AX8" s="4"/>
      <c r="AY8" s="3"/>
      <c r="AZ8" s="3"/>
      <c r="BA8" s="3"/>
      <c r="BB8" s="3"/>
      <c r="BC8" s="3"/>
      <c r="BD8" s="3"/>
      <c r="BE8" s="3"/>
      <c r="BF8" s="3"/>
      <c r="BG8" s="3"/>
      <c r="BH8" s="3"/>
      <c r="BI8" s="3"/>
    </row>
    <row r="9" spans="6:61" x14ac:dyDescent="0.15">
      <c r="F9" s="5"/>
      <c r="G9" s="246" t="s">
        <v>98</v>
      </c>
      <c r="H9" s="247" t="s">
        <v>99</v>
      </c>
      <c r="I9" s="365" t="s">
        <v>100</v>
      </c>
      <c r="J9" s="247" t="s">
        <v>223</v>
      </c>
      <c r="K9" s="7"/>
      <c r="L9" s="246" t="s">
        <v>98</v>
      </c>
      <c r="M9" s="247" t="s">
        <v>99</v>
      </c>
      <c r="N9" s="365" t="s">
        <v>100</v>
      </c>
      <c r="O9" s="247" t="s">
        <v>223</v>
      </c>
      <c r="P9" s="294"/>
      <c r="Q9" s="9"/>
      <c r="R9" s="9"/>
      <c r="S9" s="9"/>
      <c r="T9" s="9"/>
      <c r="U9" s="9"/>
      <c r="V9" s="9"/>
      <c r="W9" s="9"/>
      <c r="X9" s="9"/>
      <c r="Y9" s="9"/>
      <c r="Z9" s="9"/>
      <c r="AA9" s="9"/>
      <c r="AB9" s="9"/>
      <c r="AC9" s="250"/>
      <c r="AD9" s="250"/>
      <c r="AE9" s="250"/>
      <c r="AF9" s="250"/>
      <c r="AG9" s="251"/>
      <c r="AH9" s="250"/>
      <c r="AI9" s="250"/>
      <c r="AJ9" s="250"/>
      <c r="AK9" s="250"/>
      <c r="AL9" s="3"/>
      <c r="AM9" s="2" t="str">
        <f>IF(OR(J21&gt;=50,O22&gt;=50),"×",IF(OR(J21&gt;=40,O22&gt;=40),"△","○"))</f>
        <v>○</v>
      </c>
      <c r="AN9" s="3" t="str">
        <f>IF(OR(J21&gt;=50,O22&gt;=50),"配管容量が大きすぎます。電動弁の系統を分けてください。",IF(OR(J21&gt;=40,O22&gt;=40),"配管容量が大きいため、ポンプ動力が大きくなるおそれがあります。電動弁の系統を分けることを推奨します。","配管容量は適切です。"))</f>
        <v>配管容量は適切です。</v>
      </c>
      <c r="AO9" s="4"/>
      <c r="AP9" s="4"/>
      <c r="AQ9" s="4"/>
      <c r="AR9" s="4"/>
      <c r="AS9" s="4"/>
      <c r="AT9" s="4"/>
      <c r="AU9" s="4"/>
      <c r="AV9" s="4"/>
      <c r="AW9" s="4"/>
      <c r="AX9" s="4"/>
      <c r="AY9" s="3"/>
      <c r="AZ9" s="3"/>
      <c r="BA9" s="3"/>
      <c r="BB9" s="3"/>
      <c r="BC9" s="3"/>
      <c r="BD9" s="3"/>
      <c r="BE9" s="3"/>
      <c r="BF9" s="3"/>
      <c r="BG9" s="3"/>
      <c r="BH9" s="3"/>
      <c r="BI9" s="3"/>
    </row>
    <row r="10" spans="6:61" ht="14.25" thickBot="1" x14ac:dyDescent="0.2">
      <c r="F10" s="5"/>
      <c r="G10" s="244"/>
      <c r="H10" s="245" t="s">
        <v>177</v>
      </c>
      <c r="I10" s="366" t="s">
        <v>178</v>
      </c>
      <c r="J10" s="245" t="s">
        <v>179</v>
      </c>
      <c r="K10" s="7"/>
      <c r="L10" s="244"/>
      <c r="M10" s="245" t="s">
        <v>177</v>
      </c>
      <c r="N10" s="366" t="s">
        <v>178</v>
      </c>
      <c r="O10" s="245" t="s">
        <v>179</v>
      </c>
      <c r="P10" s="294"/>
      <c r="Q10" s="9"/>
      <c r="R10" s="197"/>
      <c r="S10" s="198"/>
      <c r="T10" s="196"/>
      <c r="U10" s="198"/>
      <c r="V10" s="198"/>
      <c r="W10" s="198"/>
      <c r="X10" s="198"/>
      <c r="Y10" s="198"/>
      <c r="Z10" s="198"/>
      <c r="AA10" s="198"/>
      <c r="AB10" s="9"/>
      <c r="AC10" s="253"/>
      <c r="AD10" s="254"/>
      <c r="AE10" s="252"/>
      <c r="AF10" s="254"/>
      <c r="AG10" s="251"/>
      <c r="AH10" s="253"/>
      <c r="AI10" s="254"/>
      <c r="AJ10" s="252"/>
      <c r="AK10" s="254"/>
      <c r="AL10" s="3"/>
      <c r="AM10" s="14"/>
      <c r="AN10" s="4"/>
      <c r="AO10" s="4"/>
      <c r="AP10" s="4"/>
      <c r="AQ10" s="4"/>
      <c r="AR10" s="4"/>
      <c r="AS10" s="4"/>
      <c r="AT10" s="4"/>
      <c r="AU10" s="4"/>
      <c r="AV10" s="4"/>
      <c r="AW10" s="4"/>
      <c r="AX10" s="4"/>
      <c r="AY10" s="3"/>
      <c r="AZ10" s="3"/>
      <c r="BA10" s="3"/>
      <c r="BB10" s="3"/>
      <c r="BC10" s="3"/>
      <c r="BD10" s="3"/>
      <c r="BE10" s="3"/>
      <c r="BF10" s="3"/>
      <c r="BG10" s="3"/>
      <c r="BH10" s="3"/>
      <c r="BI10" s="3"/>
    </row>
    <row r="11" spans="6:61" ht="14.25" thickTop="1" x14ac:dyDescent="0.15">
      <c r="F11" s="5"/>
      <c r="G11" s="15" t="str">
        <f>IF($M$3="","",VLOOKUP($M$3,$AM$21:$AY$26,2,0))</f>
        <v>16A</v>
      </c>
      <c r="H11" s="15">
        <f>IF($M$3="","",VLOOKUP($M$3,$AM$28:$AY$33,2,0))</f>
        <v>0.20100000000000001</v>
      </c>
      <c r="I11" s="16"/>
      <c r="J11" s="17">
        <f>ROUNDUP(H11*I11,1)</f>
        <v>0</v>
      </c>
      <c r="K11" s="7"/>
      <c r="L11" s="15" t="str">
        <f>IF($M$3="","",VLOOKUP($M$3,$AM$21:$AY$26,2,0))</f>
        <v>16A</v>
      </c>
      <c r="M11" s="15">
        <f>IF($M$3="","",VLOOKUP($M$3,$AM$28:$AY$33,2,0))</f>
        <v>0.20100000000000001</v>
      </c>
      <c r="N11" s="37"/>
      <c r="O11" s="38">
        <f>ROUNDUP(M11*N11,1)</f>
        <v>0</v>
      </c>
      <c r="P11" s="294"/>
      <c r="Q11" s="9"/>
      <c r="R11" s="199"/>
      <c r="S11" s="199"/>
      <c r="T11" s="200"/>
      <c r="U11" s="201"/>
      <c r="V11" s="201"/>
      <c r="W11" s="201"/>
      <c r="X11" s="201"/>
      <c r="Y11" s="201"/>
      <c r="Z11" s="201"/>
      <c r="AA11" s="201"/>
      <c r="AB11" s="9"/>
      <c r="AC11" s="255"/>
      <c r="AD11" s="255"/>
      <c r="AE11" s="256"/>
      <c r="AF11" s="257"/>
      <c r="AG11" s="251"/>
      <c r="AH11" s="255"/>
      <c r="AI11" s="255"/>
      <c r="AJ11" s="256"/>
      <c r="AK11" s="257"/>
      <c r="AL11" s="3"/>
      <c r="AM11" s="14"/>
      <c r="AN11" s="4"/>
      <c r="AO11" s="4"/>
      <c r="AP11" s="4"/>
      <c r="AQ11" s="4"/>
      <c r="AR11" s="4"/>
      <c r="AS11" s="4"/>
      <c r="AT11" s="4"/>
      <c r="AU11" s="4"/>
      <c r="AV11" s="4"/>
      <c r="AW11" s="4"/>
      <c r="AX11" s="4"/>
      <c r="AY11" s="3"/>
      <c r="AZ11" s="3"/>
      <c r="BA11" s="3"/>
      <c r="BB11" s="3"/>
      <c r="BC11" s="3"/>
      <c r="BD11" s="3"/>
      <c r="BE11" s="3"/>
      <c r="BF11" s="3"/>
      <c r="BG11" s="3"/>
      <c r="BH11" s="3"/>
      <c r="BI11" s="3"/>
    </row>
    <row r="12" spans="6:61" x14ac:dyDescent="0.15">
      <c r="F12" s="5"/>
      <c r="G12" s="15" t="str">
        <f>IF($M$3="","",VLOOKUP($M$3,$AM$21:$AY$26,3,0))</f>
        <v>20A</v>
      </c>
      <c r="H12" s="15">
        <f>IF($M$3="","",VLOOKUP($M$3,$AM$28:$AY$33,3,0))</f>
        <v>0.314</v>
      </c>
      <c r="I12" s="16"/>
      <c r="J12" s="17">
        <f>ROUNDUP(H12*I12,1)</f>
        <v>0</v>
      </c>
      <c r="K12" s="7"/>
      <c r="L12" s="15" t="str">
        <f>IF($M$3="","",VLOOKUP($M$3,$AM$21:$AY$26,3,0))</f>
        <v>20A</v>
      </c>
      <c r="M12" s="15">
        <f>IF($M$3="","",VLOOKUP($M$3,$AM$28:$AY$33,3,0))</f>
        <v>0.314</v>
      </c>
      <c r="N12" s="37"/>
      <c r="O12" s="38">
        <f>ROUNDUP(M12*N12,1)</f>
        <v>0</v>
      </c>
      <c r="P12" s="294"/>
      <c r="Q12" s="9"/>
      <c r="R12" s="199"/>
      <c r="S12" s="199"/>
      <c r="T12" s="200"/>
      <c r="U12" s="201"/>
      <c r="V12" s="201"/>
      <c r="W12" s="201"/>
      <c r="X12" s="201"/>
      <c r="Y12" s="201"/>
      <c r="Z12" s="201"/>
      <c r="AA12" s="201"/>
      <c r="AB12" s="9"/>
      <c r="AC12" s="255"/>
      <c r="AD12" s="255"/>
      <c r="AE12" s="256"/>
      <c r="AF12" s="257"/>
      <c r="AG12" s="251"/>
      <c r="AH12" s="255"/>
      <c r="AI12" s="255"/>
      <c r="AJ12" s="256"/>
      <c r="AK12" s="257"/>
      <c r="AL12" s="3"/>
      <c r="AM12" s="14"/>
      <c r="AN12" s="4"/>
      <c r="AO12" s="4"/>
      <c r="AP12" s="4"/>
      <c r="AQ12" s="4"/>
      <c r="AR12" s="4"/>
      <c r="AS12" s="4"/>
      <c r="AT12" s="4"/>
      <c r="AU12" s="4"/>
      <c r="AV12" s="4"/>
      <c r="AW12" s="4"/>
      <c r="AX12" s="4"/>
      <c r="AY12" s="3"/>
      <c r="AZ12" s="3"/>
      <c r="BA12" s="3"/>
      <c r="BB12" s="3"/>
      <c r="BC12" s="3"/>
      <c r="BD12" s="3"/>
      <c r="BE12" s="3"/>
      <c r="BF12" s="3"/>
      <c r="BG12" s="3"/>
      <c r="BH12" s="3"/>
      <c r="BI12" s="3"/>
    </row>
    <row r="13" spans="6:61" x14ac:dyDescent="0.15">
      <c r="F13" s="5"/>
      <c r="G13" s="15" t="str">
        <f>IF($M$3="","",VLOOKUP($M$3,$AM$21:$AY$26,4,0))</f>
        <v>25A</v>
      </c>
      <c r="H13" s="15">
        <f>IF($M$3="","",VLOOKUP($M$3,$AM$28:$AY$33,4,0))</f>
        <v>0.49099999999999999</v>
      </c>
      <c r="I13" s="18"/>
      <c r="J13" s="19">
        <f t="shared" ref="J13:J15" si="0">ROUNDUP(H13*I13,1)</f>
        <v>0</v>
      </c>
      <c r="K13" s="7"/>
      <c r="L13" s="15" t="str">
        <f>IF($M$3="","",VLOOKUP($M$3,$AM$21:$AY$26,4,0))</f>
        <v>25A</v>
      </c>
      <c r="M13" s="15">
        <f>IF($M$3="","",VLOOKUP($M$3,$AM$28:$AY$33,4,0))</f>
        <v>0.49099999999999999</v>
      </c>
      <c r="N13" s="39"/>
      <c r="O13" s="38">
        <f t="shared" ref="O13:O15" si="1">ROUNDUP(M13*N13,1)</f>
        <v>0</v>
      </c>
      <c r="P13" s="294"/>
      <c r="Q13" s="9"/>
      <c r="R13" s="199"/>
      <c r="S13" s="199"/>
      <c r="T13" s="200"/>
      <c r="U13" s="201"/>
      <c r="V13" s="201"/>
      <c r="W13" s="201"/>
      <c r="X13" s="201"/>
      <c r="Y13" s="201"/>
      <c r="Z13" s="201"/>
      <c r="AA13" s="201"/>
      <c r="AB13" s="9"/>
      <c r="AC13" s="255"/>
      <c r="AD13" s="255"/>
      <c r="AE13" s="256"/>
      <c r="AF13" s="257"/>
      <c r="AG13" s="251"/>
      <c r="AH13" s="255"/>
      <c r="AI13" s="255"/>
      <c r="AJ13" s="256"/>
      <c r="AK13" s="257"/>
      <c r="AL13" s="3"/>
      <c r="AM13" s="3"/>
      <c r="AN13" s="4"/>
      <c r="AO13" s="4"/>
      <c r="AP13" s="4"/>
      <c r="AQ13" s="4"/>
      <c r="AR13" s="4"/>
      <c r="AS13" s="4"/>
      <c r="AT13" s="4"/>
      <c r="AU13" s="4"/>
      <c r="AV13" s="4"/>
      <c r="AW13" s="4"/>
      <c r="AX13" s="4"/>
      <c r="AY13" s="3"/>
      <c r="AZ13" s="3"/>
      <c r="BA13" s="3"/>
      <c r="BB13" s="3"/>
      <c r="BC13" s="3"/>
      <c r="BD13" s="3"/>
      <c r="BE13" s="3"/>
      <c r="BF13" s="3"/>
      <c r="BG13" s="3"/>
      <c r="BH13" s="3"/>
      <c r="BI13" s="3"/>
    </row>
    <row r="14" spans="6:61" x14ac:dyDescent="0.15">
      <c r="F14" s="5"/>
      <c r="G14" s="15" t="str">
        <f>IF($M$3="","",VLOOKUP($M$3,$AM$21:$AY$26,5,0))</f>
        <v>30A</v>
      </c>
      <c r="H14" s="15">
        <f>IF($M$3="","",VLOOKUP($M$3,$AM$28:$AY$33,5,0))</f>
        <v>0.755</v>
      </c>
      <c r="I14" s="18"/>
      <c r="J14" s="19">
        <f t="shared" si="0"/>
        <v>0</v>
      </c>
      <c r="K14" s="7"/>
      <c r="L14" s="15" t="str">
        <f>IF($M$3="","",VLOOKUP($M$3,$AM$21:$AY$26,5,0))</f>
        <v>30A</v>
      </c>
      <c r="M14" s="15">
        <f>IF($M$3="","",VLOOKUP($M$3,$AM$28:$AY$33,5,0))</f>
        <v>0.755</v>
      </c>
      <c r="N14" s="39"/>
      <c r="O14" s="38">
        <f t="shared" si="1"/>
        <v>0</v>
      </c>
      <c r="P14" s="294"/>
      <c r="Q14" s="9"/>
      <c r="R14" s="199"/>
      <c r="S14" s="199"/>
      <c r="T14" s="200"/>
      <c r="U14" s="201"/>
      <c r="V14" s="201"/>
      <c r="W14" s="201"/>
      <c r="X14" s="201"/>
      <c r="Y14" s="201"/>
      <c r="Z14" s="201"/>
      <c r="AA14" s="201"/>
      <c r="AB14" s="9"/>
      <c r="AC14" s="255"/>
      <c r="AD14" s="255"/>
      <c r="AE14" s="256"/>
      <c r="AF14" s="257"/>
      <c r="AG14" s="251"/>
      <c r="AH14" s="255"/>
      <c r="AI14" s="255"/>
      <c r="AJ14" s="256"/>
      <c r="AK14" s="257"/>
      <c r="AL14" s="3"/>
      <c r="AM14" s="3"/>
      <c r="AN14" s="4"/>
      <c r="AO14" s="4"/>
      <c r="AP14" s="4"/>
      <c r="AQ14" s="4"/>
      <c r="AR14" s="4"/>
      <c r="AS14" s="4"/>
      <c r="AT14" s="4"/>
      <c r="AU14" s="4"/>
      <c r="AV14" s="4"/>
      <c r="AW14" s="4"/>
      <c r="AX14" s="4"/>
      <c r="AY14" s="3"/>
      <c r="AZ14" s="3"/>
      <c r="BA14" s="3"/>
      <c r="BB14" s="3"/>
      <c r="BC14" s="3"/>
      <c r="BD14" s="3"/>
      <c r="BE14" s="3"/>
      <c r="BF14" s="3"/>
      <c r="BG14" s="3"/>
      <c r="BH14" s="3"/>
      <c r="BI14" s="3"/>
    </row>
    <row r="15" spans="6:61" ht="13.5" customHeight="1" x14ac:dyDescent="0.15">
      <c r="F15" s="5"/>
      <c r="G15" s="15" t="str">
        <f>IF($M$3="","",VLOOKUP($M$3,$AM$21:$AY$26,6,0))</f>
        <v>40A</v>
      </c>
      <c r="H15" s="15">
        <f>IF($M$3="","",VLOOKUP($M$3,$AM$28:$AY$33,6,0))</f>
        <v>1.256</v>
      </c>
      <c r="I15" s="18"/>
      <c r="J15" s="19">
        <f t="shared" si="0"/>
        <v>0</v>
      </c>
      <c r="K15" s="7"/>
      <c r="L15" s="15" t="str">
        <f>IF($M$3="","",VLOOKUP($M$3,$AM$21:$AY$26,6,0))</f>
        <v>40A</v>
      </c>
      <c r="M15" s="15">
        <f>IF($M$3="","",VLOOKUP($M$3,$AM$28:$AY$33,6,0))</f>
        <v>1.256</v>
      </c>
      <c r="N15" s="39"/>
      <c r="O15" s="38">
        <f t="shared" si="1"/>
        <v>0</v>
      </c>
      <c r="P15" s="294"/>
      <c r="Q15" s="9"/>
      <c r="R15" s="199"/>
      <c r="S15" s="199"/>
      <c r="T15" s="200"/>
      <c r="U15" s="201"/>
      <c r="V15" s="201"/>
      <c r="W15" s="201"/>
      <c r="X15" s="201"/>
      <c r="Y15" s="201"/>
      <c r="Z15" s="201"/>
      <c r="AA15" s="201"/>
      <c r="AB15" s="9"/>
      <c r="AC15" s="255"/>
      <c r="AD15" s="255"/>
      <c r="AE15" s="256"/>
      <c r="AF15" s="257"/>
      <c r="AG15" s="251"/>
      <c r="AH15" s="255"/>
      <c r="AI15" s="255"/>
      <c r="AJ15" s="256"/>
      <c r="AK15" s="257"/>
      <c r="AL15" s="3"/>
      <c r="AZ15" s="3"/>
      <c r="BA15" s="3"/>
      <c r="BB15" s="3"/>
      <c r="BC15" s="3"/>
      <c r="BD15" s="3"/>
      <c r="BE15" s="3"/>
      <c r="BF15" s="3"/>
      <c r="BG15" s="3"/>
      <c r="BH15" s="3"/>
      <c r="BI15" s="3"/>
    </row>
    <row r="16" spans="6:61" x14ac:dyDescent="0.15">
      <c r="F16" s="5"/>
      <c r="G16" s="282"/>
      <c r="H16" s="7"/>
      <c r="I16" s="220"/>
      <c r="J16" s="220"/>
      <c r="K16" s="220"/>
      <c r="L16" s="43"/>
      <c r="M16" s="43"/>
      <c r="N16" s="218"/>
      <c r="O16" s="218"/>
      <c r="P16" s="293"/>
      <c r="Q16" s="14"/>
      <c r="R16" s="9"/>
      <c r="S16" s="9"/>
      <c r="T16" s="14"/>
      <c r="U16" s="14"/>
      <c r="V16" s="14"/>
      <c r="W16" s="14"/>
      <c r="X16" s="14"/>
      <c r="Y16" s="14"/>
      <c r="Z16" s="14"/>
      <c r="AA16" s="14"/>
      <c r="AB16" s="9"/>
      <c r="AC16" s="250"/>
      <c r="AD16" s="250"/>
      <c r="AE16" s="251"/>
      <c r="AF16" s="251"/>
      <c r="AG16" s="251"/>
      <c r="AH16" s="250"/>
      <c r="AI16" s="250"/>
      <c r="AJ16" s="251"/>
      <c r="AK16" s="251"/>
      <c r="AL16" s="3"/>
      <c r="AZ16" s="3"/>
      <c r="BA16" s="3"/>
      <c r="BB16" s="3"/>
      <c r="BC16" s="3"/>
      <c r="BD16" s="3"/>
      <c r="BE16" s="3"/>
      <c r="BF16" s="3"/>
      <c r="BG16" s="3"/>
      <c r="BH16" s="3"/>
      <c r="BI16" s="3"/>
    </row>
    <row r="17" spans="6:61" ht="14.25" thickBot="1" x14ac:dyDescent="0.2">
      <c r="F17" s="5"/>
      <c r="G17" s="282"/>
      <c r="H17" s="12" t="s">
        <v>122</v>
      </c>
      <c r="I17" s="25" t="s">
        <v>123</v>
      </c>
      <c r="J17" s="13" t="s">
        <v>223</v>
      </c>
      <c r="K17" s="220"/>
      <c r="L17" s="43"/>
      <c r="M17" s="12" t="s">
        <v>122</v>
      </c>
      <c r="N17" s="25" t="s">
        <v>123</v>
      </c>
      <c r="O17" s="13" t="s">
        <v>223</v>
      </c>
      <c r="P17" s="293"/>
      <c r="Q17" s="14"/>
      <c r="R17" s="9"/>
      <c r="S17" s="197"/>
      <c r="T17" s="197"/>
      <c r="U17" s="198"/>
      <c r="V17" s="198"/>
      <c r="W17" s="198"/>
      <c r="X17" s="198"/>
      <c r="Y17" s="198"/>
      <c r="Z17" s="198"/>
      <c r="AA17" s="198"/>
      <c r="AB17" s="9"/>
      <c r="AC17" s="250"/>
      <c r="AD17" s="253"/>
      <c r="AE17" s="253"/>
      <c r="AF17" s="254"/>
      <c r="AG17" s="251"/>
      <c r="AH17" s="250"/>
      <c r="AI17" s="253"/>
      <c r="AJ17" s="253"/>
      <c r="AK17" s="254"/>
      <c r="AL17" s="3"/>
      <c r="AZ17" s="3"/>
      <c r="BA17" s="3"/>
      <c r="BB17" s="3"/>
      <c r="BC17" s="3"/>
      <c r="BD17" s="3"/>
      <c r="BE17" s="3"/>
      <c r="BF17" s="3"/>
      <c r="BG17" s="3"/>
      <c r="BH17" s="3"/>
      <c r="BI17" s="3"/>
    </row>
    <row r="18" spans="6:61" ht="14.25" thickTop="1" x14ac:dyDescent="0.15">
      <c r="F18" s="5"/>
      <c r="G18" s="282"/>
      <c r="H18" s="26">
        <v>0</v>
      </c>
      <c r="I18" s="27">
        <v>0.47199999999999998</v>
      </c>
      <c r="J18" s="28">
        <f>H18*I18</f>
        <v>0</v>
      </c>
      <c r="K18" s="220"/>
      <c r="L18" s="43"/>
      <c r="M18" s="39">
        <v>0</v>
      </c>
      <c r="N18" s="41">
        <v>0.47199999999999998</v>
      </c>
      <c r="O18" s="42">
        <f>M18*N18</f>
        <v>0</v>
      </c>
      <c r="P18" s="293"/>
      <c r="Q18" s="14"/>
      <c r="R18" s="9"/>
      <c r="S18" s="202"/>
      <c r="T18" s="9"/>
      <c r="U18" s="9"/>
      <c r="V18" s="9"/>
      <c r="W18" s="9"/>
      <c r="X18" s="9"/>
      <c r="Y18" s="9"/>
      <c r="Z18" s="9"/>
      <c r="AA18" s="9"/>
      <c r="AB18" s="9"/>
      <c r="AC18" s="250"/>
      <c r="AD18" s="274"/>
      <c r="AE18" s="250"/>
      <c r="AF18" s="250"/>
      <c r="AG18" s="251"/>
      <c r="AH18" s="250"/>
      <c r="AI18" s="274"/>
      <c r="AJ18" s="250"/>
      <c r="AK18" s="250"/>
      <c r="AL18" s="3"/>
      <c r="AZ18" s="3"/>
      <c r="BA18" s="3"/>
      <c r="BB18" s="3"/>
      <c r="BC18" s="3"/>
      <c r="BD18" s="3"/>
      <c r="BE18" s="3"/>
      <c r="BF18" s="3"/>
      <c r="BG18" s="3"/>
      <c r="BH18" s="3"/>
      <c r="BI18" s="3"/>
    </row>
    <row r="19" spans="6:61" ht="14.25" thickBot="1" x14ac:dyDescent="0.2">
      <c r="F19" s="7"/>
      <c r="G19" s="284"/>
      <c r="H19" s="220"/>
      <c r="I19" s="220"/>
      <c r="J19" s="220"/>
      <c r="K19" s="7"/>
      <c r="L19" s="218"/>
      <c r="M19" s="218"/>
      <c r="N19" s="218"/>
      <c r="O19" s="218"/>
      <c r="P19" s="294"/>
      <c r="Q19" s="9"/>
      <c r="R19" s="14"/>
      <c r="S19" s="14"/>
      <c r="T19" s="14"/>
      <c r="U19" s="14"/>
      <c r="V19" s="14"/>
      <c r="W19" s="14"/>
      <c r="X19" s="14"/>
      <c r="Y19" s="14"/>
      <c r="Z19" s="14"/>
      <c r="AA19" s="14"/>
      <c r="AB19" s="9"/>
      <c r="AC19" s="251"/>
      <c r="AD19" s="251"/>
      <c r="AE19" s="251"/>
      <c r="AF19" s="251"/>
      <c r="AG19" s="251"/>
      <c r="AH19" s="251"/>
      <c r="AI19" s="251"/>
      <c r="AJ19" s="251"/>
      <c r="AK19" s="251"/>
      <c r="AL19" s="3"/>
      <c r="AZ19" s="3"/>
      <c r="BA19" s="3"/>
      <c r="BB19" s="3"/>
      <c r="BC19" s="3"/>
      <c r="BD19" s="3"/>
      <c r="BE19" s="3"/>
      <c r="BF19" s="3"/>
      <c r="BG19" s="3"/>
      <c r="BH19" s="3"/>
      <c r="BI19" s="3"/>
    </row>
    <row r="20" spans="6:61" ht="14.25" thickBot="1" x14ac:dyDescent="0.2">
      <c r="F20" s="7"/>
      <c r="G20" s="282"/>
      <c r="H20" s="7"/>
      <c r="I20" s="29" t="s">
        <v>124</v>
      </c>
      <c r="J20" s="190">
        <f>SUM(J11:J15)+J18</f>
        <v>0</v>
      </c>
      <c r="K20" s="7"/>
      <c r="L20" s="43"/>
      <c r="M20" s="43"/>
      <c r="N20" s="44" t="s">
        <v>124</v>
      </c>
      <c r="O20" s="192">
        <f>SUM(O11:O15)+O18</f>
        <v>0</v>
      </c>
      <c r="P20" s="294"/>
      <c r="Q20" s="9"/>
      <c r="R20" s="9"/>
      <c r="S20" s="9"/>
      <c r="T20" s="199"/>
      <c r="U20" s="201"/>
      <c r="V20" s="201"/>
      <c r="W20" s="201"/>
      <c r="X20" s="201"/>
      <c r="Y20" s="201"/>
      <c r="Z20" s="201"/>
      <c r="AA20" s="201"/>
      <c r="AB20" s="9"/>
      <c r="AC20" s="250"/>
      <c r="AD20" s="250"/>
      <c r="AE20" s="255"/>
      <c r="AF20" s="257"/>
      <c r="AG20" s="251"/>
      <c r="AH20" s="250"/>
      <c r="AI20" s="250"/>
      <c r="AJ20" s="255"/>
      <c r="AK20" s="257"/>
      <c r="AL20" s="3"/>
      <c r="AM20" s="49" t="s">
        <v>130</v>
      </c>
      <c r="AN20" s="387" t="s">
        <v>131</v>
      </c>
      <c r="AO20" s="388"/>
      <c r="AP20" s="388"/>
      <c r="AQ20" s="388"/>
      <c r="AR20" s="388"/>
      <c r="AS20" s="388"/>
      <c r="AT20" s="388"/>
      <c r="AU20" s="388"/>
      <c r="AV20" s="388"/>
      <c r="AW20" s="388"/>
      <c r="AX20" s="388"/>
      <c r="AY20" s="389"/>
      <c r="AZ20" s="3"/>
      <c r="BA20" s="3"/>
      <c r="BB20" s="3"/>
      <c r="BC20" s="3"/>
      <c r="BD20" s="3"/>
      <c r="BE20" s="3"/>
      <c r="BF20" s="3"/>
      <c r="BG20" s="3"/>
      <c r="BH20" s="3"/>
      <c r="BI20" s="3"/>
    </row>
    <row r="21" spans="6:61" ht="14.25" thickBot="1" x14ac:dyDescent="0.2">
      <c r="F21" s="7"/>
      <c r="G21" s="282"/>
      <c r="H21" s="36"/>
      <c r="I21" s="36" t="s">
        <v>226</v>
      </c>
      <c r="J21" s="213">
        <f>IF($F$51=1,J20,ROUND(J20*1.1,1))</f>
        <v>0</v>
      </c>
      <c r="K21" s="220" t="s">
        <v>139</v>
      </c>
      <c r="L21" s="43"/>
      <c r="M21" s="43"/>
      <c r="N21" s="36" t="s">
        <v>226</v>
      </c>
      <c r="O21" s="194">
        <f>IF($F$51=1,O20,ROUND(O20*1.1,1))</f>
        <v>0</v>
      </c>
      <c r="P21" s="294"/>
      <c r="Q21" s="9"/>
      <c r="R21" s="9"/>
      <c r="S21" s="9"/>
      <c r="T21" s="8"/>
      <c r="U21" s="203"/>
      <c r="V21" s="203"/>
      <c r="W21" s="203"/>
      <c r="X21" s="203"/>
      <c r="Y21" s="203"/>
      <c r="Z21" s="203"/>
      <c r="AA21" s="203"/>
      <c r="AB21" s="9"/>
      <c r="AC21" s="250"/>
      <c r="AD21" s="250"/>
      <c r="AE21" s="249"/>
      <c r="AF21" s="258"/>
      <c r="AG21" s="251"/>
      <c r="AH21" s="250"/>
      <c r="AI21" s="250"/>
      <c r="AJ21" s="249"/>
      <c r="AK21" s="258"/>
      <c r="AL21" s="3"/>
      <c r="AM21" s="20" t="s">
        <v>101</v>
      </c>
      <c r="AN21" s="21" t="s">
        <v>103</v>
      </c>
      <c r="AO21" s="22" t="s">
        <v>104</v>
      </c>
      <c r="AP21" s="22" t="s">
        <v>105</v>
      </c>
      <c r="AQ21" s="22" t="s">
        <v>106</v>
      </c>
      <c r="AR21" s="22" t="s">
        <v>107</v>
      </c>
      <c r="AS21" s="22" t="s">
        <v>108</v>
      </c>
      <c r="AT21" s="22" t="s">
        <v>109</v>
      </c>
      <c r="AU21" s="22" t="s">
        <v>110</v>
      </c>
      <c r="AV21" s="22" t="s">
        <v>111</v>
      </c>
      <c r="AW21" s="22" t="s">
        <v>112</v>
      </c>
      <c r="AX21" s="22"/>
      <c r="AY21" s="20"/>
      <c r="AZ21" s="3"/>
      <c r="BA21" s="3"/>
      <c r="BB21" s="3"/>
      <c r="BC21" s="3"/>
      <c r="BD21" s="3"/>
      <c r="BE21" s="3"/>
      <c r="BF21" s="3"/>
      <c r="BG21" s="3"/>
      <c r="BH21" s="3"/>
      <c r="BI21" s="3"/>
    </row>
    <row r="22" spans="6:61" ht="14.25" thickBot="1" x14ac:dyDescent="0.2">
      <c r="F22" s="7"/>
      <c r="G22" s="282"/>
      <c r="H22" s="7"/>
      <c r="I22" s="30"/>
      <c r="J22" s="31">
        <f>ROUND(J21*2,0)/2</f>
        <v>0</v>
      </c>
      <c r="K22" s="7"/>
      <c r="L22" s="218"/>
      <c r="M22" s="218"/>
      <c r="N22" s="36" t="s">
        <v>227</v>
      </c>
      <c r="O22" s="214">
        <f>ROUND(O21*2,1)</f>
        <v>0</v>
      </c>
      <c r="P22" s="293" t="s">
        <v>140</v>
      </c>
      <c r="Q22" s="14"/>
      <c r="R22" s="9"/>
      <c r="S22" s="9"/>
      <c r="T22" s="8"/>
      <c r="U22" s="31"/>
      <c r="V22" s="31"/>
      <c r="W22" s="31"/>
      <c r="X22" s="31"/>
      <c r="Y22" s="31"/>
      <c r="Z22" s="31"/>
      <c r="AA22" s="31"/>
      <c r="AB22" s="9"/>
      <c r="AC22" s="250"/>
      <c r="AD22" s="250"/>
      <c r="AE22" s="249"/>
      <c r="AF22" s="259"/>
      <c r="AG22" s="251"/>
      <c r="AH22" s="250"/>
      <c r="AI22" s="250"/>
      <c r="AJ22" s="249"/>
      <c r="AK22" s="259"/>
      <c r="AL22" s="3"/>
      <c r="AM22" s="20" t="s">
        <v>113</v>
      </c>
      <c r="AN22" s="21" t="s">
        <v>114</v>
      </c>
      <c r="AO22" s="21" t="s">
        <v>104</v>
      </c>
      <c r="AP22" s="21" t="s">
        <v>105</v>
      </c>
      <c r="AQ22" s="21" t="s">
        <v>115</v>
      </c>
      <c r="AR22" s="21" t="s">
        <v>107</v>
      </c>
      <c r="AS22" s="21" t="s">
        <v>108</v>
      </c>
      <c r="AT22" s="21" t="s">
        <v>109</v>
      </c>
      <c r="AU22" s="21" t="s">
        <v>116</v>
      </c>
      <c r="AV22" s="21" t="s">
        <v>111</v>
      </c>
      <c r="AW22" s="21" t="s">
        <v>112</v>
      </c>
      <c r="AX22" s="21" t="s">
        <v>117</v>
      </c>
      <c r="AY22" s="21" t="s">
        <v>118</v>
      </c>
      <c r="AZ22" s="3"/>
      <c r="BA22" s="3"/>
      <c r="BB22" s="3"/>
      <c r="BC22" s="3"/>
      <c r="BD22" s="3"/>
      <c r="BE22" s="3"/>
      <c r="BF22" s="3"/>
      <c r="BG22" s="3"/>
      <c r="BH22" s="3"/>
      <c r="BI22" s="3"/>
    </row>
    <row r="23" spans="6:61" x14ac:dyDescent="0.15">
      <c r="F23" s="30"/>
      <c r="G23" s="288"/>
      <c r="K23" s="30"/>
      <c r="P23" s="295"/>
      <c r="Q23" s="8"/>
      <c r="R23" s="8"/>
      <c r="S23" s="8"/>
      <c r="T23" s="204"/>
      <c r="U23" s="205"/>
      <c r="V23" s="205"/>
      <c r="W23" s="205"/>
      <c r="X23" s="205"/>
      <c r="Y23" s="205"/>
      <c r="Z23" s="205"/>
      <c r="AA23" s="205"/>
      <c r="AB23" s="8"/>
      <c r="AC23" s="249"/>
      <c r="AD23" s="249"/>
      <c r="AE23" s="260"/>
      <c r="AF23" s="261"/>
      <c r="AG23" s="260"/>
      <c r="AH23" s="249"/>
      <c r="AI23" s="249"/>
      <c r="AJ23" s="260"/>
      <c r="AK23" s="261"/>
      <c r="AL23" s="34"/>
      <c r="AM23" s="23" t="s">
        <v>119</v>
      </c>
      <c r="AN23" s="21" t="s">
        <v>114</v>
      </c>
      <c r="AO23" s="21" t="s">
        <v>104</v>
      </c>
      <c r="AP23" s="21" t="s">
        <v>105</v>
      </c>
      <c r="AQ23" s="21" t="s">
        <v>115</v>
      </c>
      <c r="AR23" s="21" t="s">
        <v>107</v>
      </c>
      <c r="AS23" s="21" t="s">
        <v>108</v>
      </c>
      <c r="AT23" s="21"/>
      <c r="AU23" s="21"/>
      <c r="AV23" s="21"/>
      <c r="AW23" s="21"/>
      <c r="AX23" s="21"/>
      <c r="AY23" s="20"/>
      <c r="AZ23" s="34"/>
      <c r="BA23" s="34"/>
      <c r="BB23" s="34"/>
      <c r="BC23" s="34"/>
      <c r="BD23" s="34"/>
      <c r="BE23" s="34"/>
      <c r="BF23" s="34"/>
      <c r="BG23" s="34"/>
      <c r="BH23" s="34"/>
      <c r="BI23" s="34"/>
    </row>
    <row r="24" spans="6:61" ht="14.25" thickBot="1" x14ac:dyDescent="0.2">
      <c r="F24" s="7"/>
      <c r="G24" s="281"/>
      <c r="H24" s="30"/>
      <c r="I24" s="32" t="s">
        <v>128</v>
      </c>
      <c r="J24" s="33" t="s">
        <v>129</v>
      </c>
      <c r="K24" s="220"/>
      <c r="L24" s="46"/>
      <c r="M24" s="46"/>
      <c r="N24" s="47" t="s">
        <v>128</v>
      </c>
      <c r="O24" s="48" t="s">
        <v>129</v>
      </c>
      <c r="P24" s="294"/>
      <c r="Q24" s="9"/>
      <c r="R24" s="9"/>
      <c r="AB24" s="9"/>
      <c r="AC24" s="250"/>
      <c r="AD24" s="250"/>
      <c r="AE24" s="262"/>
      <c r="AF24" s="262"/>
      <c r="AG24" s="251"/>
      <c r="AH24" s="250"/>
      <c r="AI24" s="250"/>
      <c r="AJ24" s="262"/>
      <c r="AK24" s="262"/>
      <c r="AL24" s="3"/>
      <c r="AM24" s="23" t="s">
        <v>120</v>
      </c>
      <c r="AN24" s="21" t="s">
        <v>114</v>
      </c>
      <c r="AO24" s="21" t="s">
        <v>104</v>
      </c>
      <c r="AP24" s="21" t="s">
        <v>105</v>
      </c>
      <c r="AQ24" s="21" t="s">
        <v>115</v>
      </c>
      <c r="AR24" s="21" t="s">
        <v>107</v>
      </c>
      <c r="AS24" s="21" t="s">
        <v>108</v>
      </c>
      <c r="AT24" s="21"/>
      <c r="AU24" s="21"/>
      <c r="AV24" s="21"/>
      <c r="AW24" s="21"/>
      <c r="AX24" s="21"/>
      <c r="AY24" s="21"/>
      <c r="AZ24" s="3"/>
      <c r="BA24" s="3"/>
      <c r="BB24" s="3"/>
      <c r="BC24" s="3"/>
      <c r="BD24" s="3"/>
      <c r="BE24" s="3"/>
      <c r="BF24" s="3"/>
      <c r="BG24" s="3"/>
      <c r="BH24" s="3"/>
      <c r="BI24" s="3"/>
    </row>
    <row r="25" spans="6:61" ht="14.25" customHeight="1" thickTop="1" x14ac:dyDescent="0.15">
      <c r="F25" s="7"/>
      <c r="G25" s="282"/>
      <c r="H25" s="36" t="s">
        <v>141</v>
      </c>
      <c r="I25" s="311">
        <f>IF(J21&lt;O22,"",IF(OR($M$3="HIVP",$M$3="SGP",$M$3="SUS"),IF(0&gt;=J21,0,IF(25&gt;J21,82,IF(28.5&gt;=J21,ROUNDUP(15/3.5*J21-25.15,0),IF(30&gt;J21,97,IF(50&gt;=J21,ROUNDUP(4.05*J21-25,0),IF(J21&gt;50,"×")))))),IF(0&gt;=J21,0,IF(25&gt;J21,82,IF(26.5&gt;=J21,ROUNDUP(8/1.5*J21-51.333,0),IF(28&gt;J21,90,IF(48&gt;=J21,ROUNDUP(4.8*J21-44.4,0),IF(J21&gt;48,"×"))))))))</f>
        <v>0</v>
      </c>
      <c r="J25" s="311">
        <f>IF(J21&lt;O22,"",IF(OR($M$3="HIVP",$M$3="SGP",$M$3="SUS"),IF(J21&lt;=0,0,IF(J21&lt;25,60,IF(J21&lt;=27.5,ROUNDUP(2*J21+10,0),IF(J21&lt;30,65,IF(J21&lt;=50,ROUNDUP(2.15*J21+0.5,0),IF(J21&gt;50,"×")))))),IF(J21&lt;=0,0,IF(J21&lt;28,59,IF(J21&lt;=48,ROUNDUP(1.9*J21+5.8,0),IF(J21&gt;50,"×"))))))</f>
        <v>0</v>
      </c>
      <c r="K25" s="220"/>
      <c r="L25" s="218"/>
      <c r="M25" s="36" t="s">
        <v>142</v>
      </c>
      <c r="N25" s="311" t="str">
        <f>IF(J21&gt;=O22,"",IF(OR($M$3="HIVP",$M$3="SGP",$M$3="SUS"),IF(0&gt;=O22,0,IF(25&gt;O22,82,IF(28.5&gt;=O22,ROUNDUP(15/3.5*O22-25.15,0),IF(30&gt;O22,97,IF(50&gt;=O22,ROUNDUP(4.05*O22-25,0),IF(O22&gt;50,"×")))))),IF(0&gt;=O22,0,IF(25&gt;O22,82,IF(26.5&gt;=O22,ROUNDUP(8/1.5*O22-51.333,0),IF(28&gt;O22,90,IF(48&gt;=O22,ROUNDUP(4.8*O22-44.4,0),IF(O22&gt;48,"×"))))))))</f>
        <v/>
      </c>
      <c r="O25" s="311" t="str">
        <f>IF(J21&gt;=O22,"",IF(OR($M$3="HIVP",$M$3="SGP",$M$3="SUS"),IF(O22&lt;=0,0,IF(O22&lt;25,60,IF(O22&lt;=27.5,ROUNDUP(2*O22+10,0),IF(O22&lt;30,65,IF(O22&lt;=50,ROUNDUP(2.15*O22+0.5,0),IF(O22&gt;50,"×")))))),IF(O22&lt;=0,0,IF(O22&lt;28,59,IF(O22&lt;=48,ROUNDUP(1.9*O22+5.8,0),IF(O22&gt;48,"×"))))))</f>
        <v/>
      </c>
      <c r="P25" s="294"/>
      <c r="Q25" s="9"/>
      <c r="R25" s="9"/>
      <c r="AB25" s="9"/>
      <c r="AC25" s="250"/>
      <c r="AD25" s="250"/>
      <c r="AE25" s="262"/>
      <c r="AF25" s="262"/>
      <c r="AG25" s="251"/>
      <c r="AH25" s="250"/>
      <c r="AI25" s="250"/>
      <c r="AJ25" s="262"/>
      <c r="AK25" s="262"/>
      <c r="AL25" s="3"/>
      <c r="AM25" s="23" t="s">
        <v>121</v>
      </c>
      <c r="AN25" s="21" t="s">
        <v>102</v>
      </c>
      <c r="AO25" s="21" t="s">
        <v>104</v>
      </c>
      <c r="AP25" s="21" t="s">
        <v>105</v>
      </c>
      <c r="AQ25" s="21" t="s">
        <v>106</v>
      </c>
      <c r="AR25" s="21" t="s">
        <v>107</v>
      </c>
      <c r="AS25" s="21" t="s">
        <v>108</v>
      </c>
      <c r="AT25" s="21"/>
      <c r="AU25" s="21"/>
      <c r="AV25" s="21"/>
      <c r="AW25" s="21"/>
      <c r="AX25" s="21"/>
      <c r="AY25" s="20"/>
      <c r="AZ25" s="3"/>
      <c r="BA25" s="3"/>
      <c r="BB25" s="3"/>
      <c r="BC25" s="3"/>
      <c r="BD25" s="3"/>
      <c r="BE25" s="3"/>
      <c r="BF25" s="3"/>
      <c r="BG25" s="3"/>
      <c r="BH25" s="3"/>
      <c r="BI25" s="3"/>
    </row>
    <row r="26" spans="6:61" ht="13.5" customHeight="1" thickBot="1" x14ac:dyDescent="0.2">
      <c r="F26" s="7"/>
      <c r="G26" s="285"/>
      <c r="H26" s="306"/>
      <c r="I26" s="307"/>
      <c r="J26" s="308"/>
      <c r="K26" s="306"/>
      <c r="L26" s="309"/>
      <c r="M26" s="309"/>
      <c r="N26" s="310"/>
      <c r="O26" s="308"/>
      <c r="P26" s="296"/>
      <c r="Q26" s="9"/>
      <c r="R26" s="9"/>
      <c r="AB26" s="9"/>
      <c r="AC26" s="250"/>
      <c r="AD26" s="250"/>
      <c r="AE26" s="249"/>
      <c r="AF26" s="263"/>
      <c r="AG26" s="251"/>
      <c r="AH26" s="250"/>
      <c r="AI26" s="250"/>
      <c r="AJ26" s="249"/>
      <c r="AK26" s="263"/>
      <c r="AL26" s="3"/>
      <c r="AM26" s="372" t="s">
        <v>246</v>
      </c>
      <c r="AN26" s="21" t="s">
        <v>247</v>
      </c>
      <c r="AO26" s="22" t="s">
        <v>248</v>
      </c>
      <c r="AP26" s="22" t="s">
        <v>249</v>
      </c>
      <c r="AQ26" s="22" t="s">
        <v>250</v>
      </c>
      <c r="AR26" s="22" t="s">
        <v>251</v>
      </c>
      <c r="AS26" s="22" t="s">
        <v>252</v>
      </c>
      <c r="AT26" s="21"/>
      <c r="AU26" s="21"/>
      <c r="AV26" s="21"/>
      <c r="AW26" s="21"/>
      <c r="AX26" s="21"/>
      <c r="AY26" s="20"/>
      <c r="AZ26" s="3"/>
      <c r="BA26" s="3"/>
      <c r="BB26" s="3"/>
      <c r="BC26" s="3"/>
      <c r="BD26" s="3"/>
      <c r="BE26" s="3"/>
      <c r="BF26" s="3"/>
      <c r="BG26" s="3"/>
      <c r="BH26" s="3"/>
      <c r="BI26" s="3"/>
    </row>
    <row r="27" spans="6:61" ht="12" customHeight="1" thickBot="1" x14ac:dyDescent="0.2">
      <c r="F27" s="7"/>
      <c r="G27" s="7"/>
      <c r="H27" s="7"/>
      <c r="I27" s="30"/>
      <c r="J27" s="35"/>
      <c r="K27" s="7"/>
      <c r="L27" s="9"/>
      <c r="M27" s="9"/>
      <c r="N27" s="8"/>
      <c r="O27" s="35"/>
      <c r="P27" s="9"/>
      <c r="Q27" s="9"/>
      <c r="R27" s="393" t="s">
        <v>228</v>
      </c>
      <c r="S27" s="390" t="str">
        <f>AM8</f>
        <v>○</v>
      </c>
      <c r="T27" s="395" t="str">
        <f>AN8</f>
        <v>配管容量は適切です。</v>
      </c>
      <c r="U27" s="396"/>
      <c r="V27" s="397"/>
      <c r="W27" s="355"/>
      <c r="X27" s="355"/>
      <c r="Y27" s="355"/>
      <c r="Z27" s="355"/>
      <c r="AA27" s="355"/>
      <c r="AB27" s="9"/>
      <c r="AC27" s="250"/>
      <c r="AD27" s="250"/>
      <c r="AE27" s="249"/>
      <c r="AF27" s="263"/>
      <c r="AG27" s="251"/>
      <c r="AH27" s="250"/>
      <c r="AI27" s="250"/>
      <c r="AJ27" s="249"/>
      <c r="AK27" s="263"/>
      <c r="AL27" s="3"/>
      <c r="AM27" s="49" t="s">
        <v>130</v>
      </c>
      <c r="AN27" s="387" t="s">
        <v>132</v>
      </c>
      <c r="AO27" s="388"/>
      <c r="AP27" s="388"/>
      <c r="AQ27" s="388"/>
      <c r="AR27" s="388"/>
      <c r="AS27" s="388"/>
      <c r="AT27" s="388"/>
      <c r="AU27" s="388"/>
      <c r="AV27" s="388"/>
      <c r="AW27" s="388"/>
      <c r="AX27" s="388"/>
      <c r="AY27" s="389"/>
      <c r="AZ27" s="3"/>
      <c r="BA27" s="3"/>
      <c r="BB27" s="3"/>
      <c r="BC27" s="3"/>
      <c r="BD27" s="3"/>
      <c r="BE27" s="3"/>
      <c r="BF27" s="3"/>
      <c r="BG27" s="3"/>
      <c r="BH27" s="3"/>
      <c r="BI27" s="3"/>
    </row>
    <row r="28" spans="6:61" ht="14.25" customHeight="1" thickBot="1" x14ac:dyDescent="0.2">
      <c r="F28" s="7"/>
      <c r="G28" s="297" t="s">
        <v>182</v>
      </c>
      <c r="H28" s="299"/>
      <c r="I28" s="30"/>
      <c r="J28" s="35"/>
      <c r="K28" s="7"/>
      <c r="L28" s="9"/>
      <c r="M28" s="9"/>
      <c r="N28" s="8"/>
      <c r="O28" s="35"/>
      <c r="P28" s="9"/>
      <c r="Q28" s="9"/>
      <c r="R28" s="394"/>
      <c r="S28" s="391"/>
      <c r="T28" s="398"/>
      <c r="U28" s="399"/>
      <c r="V28" s="400"/>
      <c r="W28" s="355"/>
      <c r="X28" s="355"/>
      <c r="Y28" s="355"/>
      <c r="Z28" s="355"/>
      <c r="AA28" s="355"/>
      <c r="AB28" s="9"/>
      <c r="AC28" s="250"/>
      <c r="AD28" s="250"/>
      <c r="AE28" s="249"/>
      <c r="AF28" s="263"/>
      <c r="AG28" s="251"/>
      <c r="AH28" s="250"/>
      <c r="AI28" s="250"/>
      <c r="AJ28" s="249"/>
      <c r="AK28" s="263"/>
      <c r="AL28" s="3"/>
      <c r="AM28" s="20" t="s">
        <v>101</v>
      </c>
      <c r="AN28" s="21">
        <v>0.20100000000000001</v>
      </c>
      <c r="AO28" s="21">
        <v>0.314</v>
      </c>
      <c r="AP28" s="22">
        <v>0.49099999999999999</v>
      </c>
      <c r="AQ28" s="22">
        <v>0.755</v>
      </c>
      <c r="AR28" s="22">
        <v>1.256</v>
      </c>
      <c r="AS28" s="22">
        <v>2.0409999999999999</v>
      </c>
      <c r="AT28" s="22">
        <v>3.53</v>
      </c>
      <c r="AU28" s="22">
        <v>4.66</v>
      </c>
      <c r="AV28" s="22">
        <v>7.85</v>
      </c>
      <c r="AW28" s="22">
        <v>12.3</v>
      </c>
      <c r="AX28" s="22"/>
      <c r="AY28" s="20"/>
      <c r="AZ28" s="3"/>
      <c r="BA28" s="3"/>
      <c r="BB28" s="3"/>
      <c r="BC28" s="3"/>
      <c r="BD28" s="3"/>
      <c r="BE28" s="3"/>
      <c r="BF28" s="3"/>
      <c r="BG28" s="3"/>
      <c r="BH28" s="3"/>
      <c r="BI28" s="3"/>
    </row>
    <row r="29" spans="6:61" ht="14.25" customHeight="1" x14ac:dyDescent="0.15">
      <c r="G29" s="288"/>
      <c r="H29" s="218"/>
      <c r="I29" s="287"/>
      <c r="J29" s="287"/>
      <c r="K29" s="287"/>
      <c r="L29" s="278"/>
      <c r="M29" s="287"/>
      <c r="N29" s="287"/>
      <c r="O29" s="287"/>
      <c r="P29" s="286"/>
      <c r="R29" s="394"/>
      <c r="S29" s="391"/>
      <c r="T29" s="398"/>
      <c r="U29" s="399"/>
      <c r="V29" s="400"/>
      <c r="W29" s="355"/>
      <c r="X29" s="355"/>
      <c r="Y29" s="355"/>
      <c r="Z29" s="355"/>
      <c r="AA29" s="355"/>
      <c r="AB29" s="9"/>
      <c r="AC29" s="250"/>
      <c r="AD29" s="264"/>
      <c r="AE29" s="249"/>
      <c r="AF29" s="263"/>
      <c r="AG29" s="251"/>
      <c r="AH29" s="250"/>
      <c r="AI29" s="250"/>
      <c r="AJ29" s="249"/>
      <c r="AK29" s="263"/>
      <c r="AL29" s="3"/>
      <c r="AM29" s="20" t="s">
        <v>113</v>
      </c>
      <c r="AN29" s="24">
        <v>0.13500000000000001</v>
      </c>
      <c r="AO29" s="21">
        <v>0.27200000000000002</v>
      </c>
      <c r="AP29" s="21">
        <v>0.47599999999999998</v>
      </c>
      <c r="AQ29" s="21">
        <v>0.84</v>
      </c>
      <c r="AR29" s="21">
        <v>1.17</v>
      </c>
      <c r="AS29" s="21">
        <v>1.96</v>
      </c>
      <c r="AT29" s="21">
        <v>3.31</v>
      </c>
      <c r="AU29" s="21">
        <v>4.62</v>
      </c>
      <c r="AV29" s="21">
        <v>8.06</v>
      </c>
      <c r="AW29" s="21">
        <v>12.6</v>
      </c>
      <c r="AX29" s="21">
        <v>17.7</v>
      </c>
      <c r="AY29" s="21">
        <v>31.3</v>
      </c>
      <c r="AZ29" s="3"/>
      <c r="BA29" s="3"/>
      <c r="BB29" s="3"/>
      <c r="BC29" s="3"/>
      <c r="BD29" s="3"/>
      <c r="BE29" s="3"/>
      <c r="BF29" s="3"/>
      <c r="BG29" s="3"/>
      <c r="BH29" s="3"/>
      <c r="BI29" s="3"/>
    </row>
    <row r="30" spans="6:61" ht="14.25" customHeight="1" x14ac:dyDescent="0.15">
      <c r="F30" s="275"/>
      <c r="G30" s="288"/>
      <c r="H30" s="14"/>
      <c r="I30" s="218"/>
      <c r="J30" s="218"/>
      <c r="K30" s="218"/>
      <c r="L30" s="9"/>
      <c r="M30" s="218"/>
      <c r="N30" s="218"/>
      <c r="O30" s="218"/>
      <c r="P30" s="283"/>
      <c r="R30" s="394"/>
      <c r="S30" s="391"/>
      <c r="T30" s="398"/>
      <c r="U30" s="399"/>
      <c r="V30" s="400"/>
      <c r="W30" s="355"/>
      <c r="X30" s="355"/>
      <c r="Y30" s="355"/>
      <c r="Z30" s="355"/>
      <c r="AA30" s="355"/>
      <c r="AB30" s="9"/>
      <c r="AC30" s="250"/>
      <c r="AD30" s="250"/>
      <c r="AE30" s="249"/>
      <c r="AF30" s="263"/>
      <c r="AG30" s="251"/>
      <c r="AH30" s="250"/>
      <c r="AI30" s="250"/>
      <c r="AJ30" s="249"/>
      <c r="AK30" s="263"/>
      <c r="AL30" s="3"/>
      <c r="AM30" s="23" t="s">
        <v>119</v>
      </c>
      <c r="AN30" s="24">
        <v>0.189</v>
      </c>
      <c r="AO30" s="21">
        <v>0.34699999999999998</v>
      </c>
      <c r="AP30" s="21">
        <v>0.57299999999999995</v>
      </c>
      <c r="AQ30" s="21">
        <v>0.96299999999999997</v>
      </c>
      <c r="AR30" s="21">
        <v>1.3140000000000001</v>
      </c>
      <c r="AS30" s="21">
        <v>2.141</v>
      </c>
      <c r="AT30" s="21"/>
      <c r="AU30" s="21"/>
      <c r="AV30" s="21"/>
      <c r="AW30" s="21"/>
      <c r="AX30" s="21"/>
      <c r="AY30" s="20"/>
      <c r="AZ30" s="3"/>
      <c r="BA30" s="3"/>
      <c r="BB30" s="3"/>
      <c r="BC30" s="3"/>
      <c r="BD30" s="3"/>
      <c r="BE30" s="3"/>
      <c r="BF30" s="3"/>
      <c r="BG30" s="3"/>
      <c r="BH30" s="3"/>
      <c r="BI30" s="3"/>
    </row>
    <row r="31" spans="6:61" ht="14.25" customHeight="1" thickBot="1" x14ac:dyDescent="0.2">
      <c r="G31" s="288"/>
      <c r="H31" s="356"/>
      <c r="I31" s="356"/>
      <c r="J31" s="356"/>
      <c r="K31" s="356"/>
      <c r="L31" s="9"/>
      <c r="M31" s="218"/>
      <c r="N31" s="218"/>
      <c r="O31" s="218"/>
      <c r="P31" s="283"/>
      <c r="R31" s="394"/>
      <c r="S31" s="392"/>
      <c r="T31" s="401"/>
      <c r="U31" s="402"/>
      <c r="V31" s="403"/>
      <c r="W31" s="355"/>
      <c r="X31" s="355"/>
      <c r="Y31" s="355"/>
      <c r="Z31" s="355"/>
      <c r="AA31" s="355"/>
      <c r="AB31" s="9"/>
      <c r="AC31" s="250"/>
      <c r="AD31" s="250"/>
      <c r="AE31" s="249"/>
      <c r="AF31" s="263"/>
      <c r="AG31" s="251"/>
      <c r="AH31" s="250"/>
      <c r="AI31" s="250"/>
      <c r="AJ31" s="249"/>
      <c r="AK31" s="263"/>
      <c r="AL31" s="3"/>
      <c r="AM31" s="23" t="s">
        <v>120</v>
      </c>
      <c r="AN31" s="24">
        <v>0.20399999999999999</v>
      </c>
      <c r="AO31" s="21">
        <v>0.36699999999999999</v>
      </c>
      <c r="AP31" s="21">
        <v>0.59799999999999998</v>
      </c>
      <c r="AQ31" s="21">
        <v>1</v>
      </c>
      <c r="AR31" s="21">
        <v>1.36</v>
      </c>
      <c r="AS31" s="21">
        <v>2.2000000000000002</v>
      </c>
      <c r="AT31" s="21">
        <v>3.62</v>
      </c>
      <c r="AU31" s="21">
        <v>5.12</v>
      </c>
      <c r="AV31" s="21">
        <v>8.7100000000000009</v>
      </c>
      <c r="AW31" s="21">
        <v>13.4</v>
      </c>
      <c r="AX31" s="21">
        <v>18.899999999999999</v>
      </c>
      <c r="AY31" s="21">
        <v>32.9</v>
      </c>
      <c r="AZ31" s="3"/>
      <c r="BA31" s="3"/>
      <c r="BB31" s="3"/>
      <c r="BC31" s="3"/>
      <c r="BD31" s="3"/>
      <c r="BE31" s="3"/>
      <c r="BF31" s="3"/>
      <c r="BG31" s="3"/>
      <c r="BH31" s="3"/>
      <c r="BI31" s="3"/>
    </row>
    <row r="32" spans="6:61" ht="14.25" customHeight="1" x14ac:dyDescent="0.15">
      <c r="F32" s="218"/>
      <c r="G32" s="288"/>
      <c r="H32" s="218"/>
      <c r="I32" s="218"/>
      <c r="J32" s="218"/>
      <c r="K32" s="218"/>
      <c r="L32" s="9"/>
      <c r="M32" s="218"/>
      <c r="N32" s="218"/>
      <c r="O32" s="218"/>
      <c r="P32" s="283"/>
      <c r="R32" s="193"/>
      <c r="AB32" s="9"/>
      <c r="AC32" s="265"/>
      <c r="AD32" s="265"/>
      <c r="AE32" s="266"/>
      <c r="AF32" s="266"/>
      <c r="AG32" s="251"/>
      <c r="AH32" s="265"/>
      <c r="AI32" s="265"/>
      <c r="AJ32" s="266"/>
      <c r="AK32" s="266"/>
      <c r="AL32" s="3"/>
      <c r="AM32" s="23" t="s">
        <v>121</v>
      </c>
      <c r="AN32" s="21">
        <v>0.161</v>
      </c>
      <c r="AO32" s="21">
        <v>0.32200000000000001</v>
      </c>
      <c r="AP32" s="21">
        <v>0.55500000000000005</v>
      </c>
      <c r="AQ32" s="21">
        <v>0.78500000000000003</v>
      </c>
      <c r="AR32" s="21">
        <v>1.276</v>
      </c>
      <c r="AS32" s="21">
        <v>1.677</v>
      </c>
      <c r="AT32" s="21"/>
      <c r="AU32" s="21"/>
      <c r="AV32" s="21"/>
      <c r="AW32" s="21"/>
      <c r="AX32" s="21"/>
      <c r="AY32" s="20"/>
      <c r="AZ32" s="3"/>
      <c r="BA32" s="3"/>
      <c r="BB32" s="3"/>
      <c r="BC32" s="3"/>
      <c r="BD32" s="3"/>
      <c r="BE32" s="3"/>
      <c r="BF32" s="3"/>
      <c r="BG32" s="3"/>
      <c r="BH32" s="3"/>
      <c r="BI32" s="3"/>
    </row>
    <row r="33" spans="6:61" x14ac:dyDescent="0.15">
      <c r="G33" s="288"/>
      <c r="H33" s="218"/>
      <c r="I33" s="218"/>
      <c r="J33" s="218"/>
      <c r="K33" s="218"/>
      <c r="L33" s="9"/>
      <c r="M33" s="218"/>
      <c r="N33" s="218"/>
      <c r="O33" s="218"/>
      <c r="P33" s="283"/>
      <c r="R33" s="197"/>
      <c r="S33" s="197"/>
      <c r="T33" s="14"/>
      <c r="U33" s="9"/>
      <c r="V33" s="9"/>
      <c r="W33" s="9"/>
      <c r="X33" s="9"/>
      <c r="Y33" s="9"/>
      <c r="Z33" s="9"/>
      <c r="AA33" s="9"/>
      <c r="AB33" s="9"/>
      <c r="AC33" s="253"/>
      <c r="AD33" s="253"/>
      <c r="AE33" s="251"/>
      <c r="AF33" s="250"/>
      <c r="AG33" s="251"/>
      <c r="AH33" s="253"/>
      <c r="AI33" s="253"/>
      <c r="AJ33" s="251"/>
      <c r="AK33" s="250"/>
      <c r="AL33" s="3"/>
      <c r="AM33" s="23" t="s">
        <v>246</v>
      </c>
      <c r="AN33" s="21">
        <v>0.16500000000000001</v>
      </c>
      <c r="AO33" s="21">
        <v>0.28299999999999997</v>
      </c>
      <c r="AP33" s="21">
        <v>0.45200000000000001</v>
      </c>
      <c r="AQ33" s="21">
        <v>0.74399999999999999</v>
      </c>
      <c r="AR33" s="21">
        <v>0.96099999999999997</v>
      </c>
      <c r="AS33" s="21">
        <v>1.52</v>
      </c>
      <c r="AT33" s="21"/>
      <c r="AU33" s="21"/>
      <c r="AV33" s="21"/>
      <c r="AW33" s="21"/>
      <c r="AX33" s="21"/>
      <c r="AY33" s="20"/>
      <c r="AZ33" s="3"/>
      <c r="BA33" s="3"/>
      <c r="BB33" s="3"/>
      <c r="BC33" s="3"/>
      <c r="BD33" s="3"/>
      <c r="BE33" s="3"/>
      <c r="BF33" s="3"/>
      <c r="BG33" s="3"/>
      <c r="BH33" s="3"/>
      <c r="BI33" s="3"/>
    </row>
    <row r="34" spans="6:61" x14ac:dyDescent="0.15">
      <c r="F34" s="218"/>
      <c r="G34" s="288"/>
      <c r="H34" s="218"/>
      <c r="I34" s="218"/>
      <c r="J34" s="218"/>
      <c r="K34" s="218"/>
      <c r="L34" s="9"/>
      <c r="M34" s="218"/>
      <c r="N34" s="218"/>
      <c r="O34" s="218"/>
      <c r="P34" s="283"/>
      <c r="R34" s="191"/>
      <c r="S34" s="191"/>
      <c r="T34" s="191"/>
      <c r="U34" s="191"/>
      <c r="V34" s="191"/>
      <c r="W34" s="191"/>
      <c r="X34" s="191"/>
      <c r="Y34" s="191"/>
      <c r="Z34" s="191"/>
      <c r="AA34" s="191"/>
      <c r="AB34" s="9"/>
      <c r="AC34" s="266"/>
      <c r="AD34" s="266"/>
      <c r="AE34" s="266"/>
      <c r="AF34" s="266"/>
      <c r="AG34" s="251"/>
      <c r="AH34" s="266"/>
      <c r="AI34" s="266"/>
      <c r="AJ34" s="266"/>
      <c r="AK34" s="266"/>
      <c r="AL34" s="3"/>
      <c r="AQ34" s="4"/>
      <c r="AR34" s="4"/>
      <c r="AS34" s="4"/>
      <c r="AT34" s="4"/>
      <c r="AU34" s="4"/>
      <c r="AV34" s="4"/>
      <c r="AW34" s="4"/>
      <c r="AX34" s="4"/>
      <c r="AY34" s="3"/>
      <c r="AZ34" s="3"/>
      <c r="BA34" s="3"/>
      <c r="BB34" s="3"/>
      <c r="BC34" s="3"/>
      <c r="BD34" s="3"/>
      <c r="BE34" s="3"/>
      <c r="BF34" s="3"/>
      <c r="BG34" s="3"/>
      <c r="BH34" s="3"/>
      <c r="BI34" s="3"/>
    </row>
    <row r="35" spans="6:61" x14ac:dyDescent="0.15">
      <c r="G35" s="288"/>
      <c r="H35" s="218"/>
      <c r="I35" s="218"/>
      <c r="J35" s="218"/>
      <c r="K35" s="218"/>
      <c r="L35" s="9"/>
      <c r="M35" s="218"/>
      <c r="N35" s="218"/>
      <c r="O35" s="218"/>
      <c r="P35" s="283"/>
      <c r="R35" s="197"/>
      <c r="S35" s="198"/>
      <c r="T35" s="196"/>
      <c r="U35" s="198"/>
      <c r="V35" s="198"/>
      <c r="W35" s="198"/>
      <c r="X35" s="198"/>
      <c r="Y35" s="198"/>
      <c r="Z35" s="198"/>
      <c r="AA35" s="198"/>
      <c r="AB35" s="9"/>
      <c r="AC35" s="253"/>
      <c r="AD35" s="254"/>
      <c r="AE35" s="252"/>
      <c r="AF35" s="254"/>
      <c r="AG35" s="251"/>
      <c r="AH35" s="253"/>
      <c r="AI35" s="254"/>
      <c r="AJ35" s="252"/>
      <c r="AK35" s="254"/>
      <c r="AL35" s="3"/>
      <c r="AM35" s="49" t="s">
        <v>125</v>
      </c>
      <c r="AN35" s="49" t="s">
        <v>126</v>
      </c>
      <c r="AO35" s="49" t="s">
        <v>127</v>
      </c>
      <c r="AP35" s="4"/>
      <c r="AQ35" s="4"/>
      <c r="AR35" s="4"/>
      <c r="AS35" s="4"/>
      <c r="AT35" s="4"/>
      <c r="AU35" s="4"/>
      <c r="AV35" s="4"/>
      <c r="AW35" s="4"/>
      <c r="AX35" s="4"/>
      <c r="AY35" s="3"/>
      <c r="AZ35" s="3"/>
      <c r="BA35" s="3"/>
      <c r="BB35" s="3"/>
      <c r="BC35" s="3"/>
      <c r="BD35" s="3"/>
      <c r="BE35" s="3"/>
      <c r="BF35" s="3"/>
      <c r="BG35" s="3"/>
      <c r="BH35" s="3"/>
      <c r="BI35" s="3"/>
    </row>
    <row r="36" spans="6:61" x14ac:dyDescent="0.15">
      <c r="F36" s="218"/>
      <c r="G36" s="288"/>
      <c r="H36" s="218"/>
      <c r="I36" s="30"/>
      <c r="J36" s="218"/>
      <c r="K36" s="218"/>
      <c r="L36" s="9"/>
      <c r="M36" s="218"/>
      <c r="N36" s="218"/>
      <c r="O36" s="218"/>
      <c r="P36" s="283"/>
      <c r="R36" s="199"/>
      <c r="S36" s="199"/>
      <c r="T36" s="207"/>
      <c r="U36" s="208"/>
      <c r="V36" s="208"/>
      <c r="W36" s="208"/>
      <c r="X36" s="208"/>
      <c r="Y36" s="208"/>
      <c r="Z36" s="208"/>
      <c r="AA36" s="208"/>
      <c r="AB36" s="9"/>
      <c r="AC36" s="255"/>
      <c r="AD36" s="255"/>
      <c r="AE36" s="267"/>
      <c r="AF36" s="268"/>
      <c r="AG36" s="251"/>
      <c r="AH36" s="255"/>
      <c r="AI36" s="255"/>
      <c r="AJ36" s="267"/>
      <c r="AK36" s="268"/>
      <c r="AL36" s="3"/>
      <c r="AM36" s="20" t="str">
        <f>H4&amp;IF(H4="","","階")&amp;IF(J4="","","－")&amp;J4</f>
        <v/>
      </c>
      <c r="AN36" s="24">
        <f>MAX(I25,N25)</f>
        <v>0</v>
      </c>
      <c r="AO36" s="24">
        <f>MAX(J25,O25)</f>
        <v>0</v>
      </c>
      <c r="AQ36" s="4"/>
      <c r="AR36" s="4"/>
      <c r="AS36" s="4"/>
      <c r="AT36" s="4"/>
      <c r="AU36" s="4"/>
      <c r="AV36" s="4"/>
      <c r="AW36" s="4"/>
      <c r="AX36" s="4"/>
      <c r="AY36" s="3"/>
      <c r="AZ36" s="3"/>
      <c r="BA36" s="3"/>
      <c r="BB36" s="3"/>
      <c r="BC36" s="3"/>
      <c r="BD36" s="3"/>
      <c r="BE36" s="3"/>
      <c r="BF36" s="3"/>
      <c r="BG36" s="3"/>
      <c r="BH36" s="3"/>
      <c r="BI36" s="3"/>
    </row>
    <row r="37" spans="6:61" x14ac:dyDescent="0.15">
      <c r="G37" s="288"/>
      <c r="H37" s="218"/>
      <c r="I37" s="218"/>
      <c r="J37" s="218"/>
      <c r="K37" s="218"/>
      <c r="L37" s="9"/>
      <c r="M37" s="218"/>
      <c r="N37" s="218"/>
      <c r="O37" s="218"/>
      <c r="P37" s="283"/>
      <c r="R37" s="199"/>
      <c r="S37" s="199"/>
      <c r="T37" s="207"/>
      <c r="U37" s="208"/>
      <c r="V37" s="208"/>
      <c r="W37" s="208"/>
      <c r="X37" s="208"/>
      <c r="Y37" s="208"/>
      <c r="Z37" s="208"/>
      <c r="AA37" s="208"/>
      <c r="AB37" s="9"/>
      <c r="AC37" s="255"/>
      <c r="AD37" s="255"/>
      <c r="AE37" s="267"/>
      <c r="AF37" s="268"/>
      <c r="AG37" s="251"/>
      <c r="AH37" s="255"/>
      <c r="AI37" s="255"/>
      <c r="AJ37" s="267"/>
      <c r="AK37" s="268"/>
      <c r="AL37" s="3"/>
      <c r="AM37" s="23"/>
      <c r="AN37" s="24"/>
      <c r="AO37" s="24"/>
      <c r="AQ37" s="4"/>
      <c r="AR37" s="4"/>
      <c r="AS37" s="4"/>
      <c r="AT37" s="4"/>
      <c r="AU37" s="4"/>
      <c r="AV37" s="4"/>
      <c r="AW37" s="4"/>
      <c r="AX37" s="4"/>
      <c r="AY37" s="3"/>
      <c r="AZ37" s="3"/>
      <c r="BA37" s="3"/>
      <c r="BB37" s="3"/>
      <c r="BC37" s="3"/>
      <c r="BD37" s="3"/>
      <c r="BE37" s="3"/>
      <c r="BF37" s="3"/>
      <c r="BG37" s="3"/>
      <c r="BH37" s="3"/>
      <c r="BI37" s="3"/>
    </row>
    <row r="38" spans="6:61" x14ac:dyDescent="0.15">
      <c r="F38" s="218"/>
      <c r="G38" s="288"/>
      <c r="H38" s="218"/>
      <c r="I38" s="218"/>
      <c r="J38" s="218"/>
      <c r="K38" s="218"/>
      <c r="L38" s="9"/>
      <c r="M38" s="218"/>
      <c r="N38" s="218"/>
      <c r="O38" s="218"/>
      <c r="P38" s="283"/>
      <c r="R38" s="199"/>
      <c r="S38" s="199"/>
      <c r="T38" s="207"/>
      <c r="U38"/>
      <c r="V38"/>
      <c r="W38"/>
      <c r="X38"/>
      <c r="Y38"/>
      <c r="Z38"/>
      <c r="AA38"/>
      <c r="AB38" s="9"/>
      <c r="AC38" s="255"/>
      <c r="AD38" s="255"/>
      <c r="AE38" s="267"/>
      <c r="AF38" s="268"/>
      <c r="AG38" s="251"/>
      <c r="AH38" s="255"/>
      <c r="AI38" s="255"/>
      <c r="AJ38" s="267"/>
      <c r="AK38" s="268"/>
      <c r="AL38" s="3"/>
      <c r="AM38" s="23"/>
      <c r="AN38" s="24"/>
      <c r="AO38" s="24"/>
      <c r="AQ38" s="4"/>
      <c r="AR38" s="4"/>
      <c r="AS38" s="4"/>
      <c r="AT38" s="4"/>
      <c r="AU38" s="4"/>
      <c r="AV38" s="4"/>
      <c r="AW38" s="4"/>
      <c r="AX38" s="4"/>
      <c r="AY38" s="3"/>
      <c r="AZ38" s="3"/>
      <c r="BA38" s="3"/>
      <c r="BB38" s="3"/>
      <c r="BC38" s="3"/>
      <c r="BD38" s="3"/>
      <c r="BE38" s="3"/>
      <c r="BF38" s="3"/>
      <c r="BG38" s="3"/>
      <c r="BH38" s="3"/>
      <c r="BI38" s="3"/>
    </row>
    <row r="39" spans="6:61" x14ac:dyDescent="0.15">
      <c r="F39" s="218"/>
      <c r="G39" s="288"/>
      <c r="H39" s="218"/>
      <c r="I39" s="218"/>
      <c r="J39" s="218"/>
      <c r="K39" s="218"/>
      <c r="L39" s="9"/>
      <c r="M39" s="218"/>
      <c r="N39" s="218"/>
      <c r="O39" s="218"/>
      <c r="P39" s="283"/>
      <c r="R39" s="199"/>
      <c r="S39" s="199"/>
      <c r="T39" s="207"/>
      <c r="U39" s="208"/>
      <c r="V39" s="208"/>
      <c r="W39" s="208"/>
      <c r="X39" s="208"/>
      <c r="Y39" s="208"/>
      <c r="Z39" s="208"/>
      <c r="AA39" s="208"/>
      <c r="AB39" s="9"/>
      <c r="AC39" s="255"/>
      <c r="AD39" s="255"/>
      <c r="AE39" s="267"/>
      <c r="AF39" s="268"/>
      <c r="AG39" s="251"/>
      <c r="AH39" s="255"/>
      <c r="AI39" s="255"/>
      <c r="AJ39" s="267"/>
      <c r="AK39" s="268"/>
      <c r="AL39" s="3"/>
      <c r="AM39" s="23"/>
      <c r="AN39" s="24"/>
      <c r="AO39" s="24"/>
      <c r="AQ39" s="4"/>
      <c r="AR39" s="4"/>
      <c r="AS39" s="4"/>
      <c r="AT39" s="4"/>
      <c r="AU39" s="4"/>
      <c r="AV39" s="4"/>
      <c r="AW39" s="4"/>
      <c r="AX39" s="4"/>
      <c r="AY39" s="3"/>
      <c r="AZ39" s="3"/>
      <c r="BA39" s="3"/>
      <c r="BB39" s="3"/>
      <c r="BC39" s="3"/>
      <c r="BD39" s="3"/>
      <c r="BE39" s="3"/>
      <c r="BF39" s="3"/>
      <c r="BG39" s="3"/>
      <c r="BH39" s="3"/>
      <c r="BI39" s="3"/>
    </row>
    <row r="40" spans="6:61" x14ac:dyDescent="0.15">
      <c r="F40" s="218"/>
      <c r="G40" s="288"/>
      <c r="H40" s="218"/>
      <c r="I40" s="218"/>
      <c r="J40" s="218"/>
      <c r="K40" s="218"/>
      <c r="L40" s="9"/>
      <c r="M40" s="218"/>
      <c r="N40" s="218"/>
      <c r="O40" s="218"/>
      <c r="P40" s="283"/>
      <c r="R40" s="199"/>
      <c r="S40" s="199"/>
      <c r="T40" s="207"/>
      <c r="U40" s="208"/>
      <c r="V40" s="208"/>
      <c r="W40" s="208"/>
      <c r="X40" s="208"/>
      <c r="Y40" s="208"/>
      <c r="Z40" s="208"/>
      <c r="AA40" s="208"/>
      <c r="AB40" s="9"/>
      <c r="AC40" s="255"/>
      <c r="AD40" s="255"/>
      <c r="AE40" s="267"/>
      <c r="AF40" s="268"/>
      <c r="AG40" s="251"/>
      <c r="AH40" s="255"/>
      <c r="AI40" s="255"/>
      <c r="AJ40" s="267"/>
      <c r="AK40" s="268"/>
      <c r="AL40" s="3"/>
      <c r="AM40" s="23"/>
      <c r="AN40" s="24"/>
      <c r="AO40" s="24"/>
      <c r="AQ40" s="4"/>
      <c r="AR40" s="4"/>
      <c r="AS40" s="4"/>
      <c r="AT40" s="4"/>
      <c r="AU40" s="4"/>
      <c r="AV40" s="4"/>
      <c r="AW40" s="4"/>
      <c r="AX40" s="4"/>
      <c r="AY40" s="3"/>
      <c r="AZ40" s="3"/>
      <c r="BA40" s="3"/>
      <c r="BB40" s="3"/>
      <c r="BC40" s="3"/>
      <c r="BD40" s="3"/>
      <c r="BE40" s="3"/>
      <c r="BF40" s="3"/>
      <c r="BG40" s="3"/>
      <c r="BH40" s="3"/>
      <c r="BI40" s="3"/>
    </row>
    <row r="41" spans="6:61" x14ac:dyDescent="0.15">
      <c r="F41" s="218"/>
      <c r="G41" s="288"/>
      <c r="H41" s="218"/>
      <c r="I41" s="218"/>
      <c r="J41" s="218"/>
      <c r="K41" s="218"/>
      <c r="L41" s="14"/>
      <c r="M41" s="218"/>
      <c r="N41" s="218"/>
      <c r="O41" s="218"/>
      <c r="P41" s="283"/>
      <c r="R41" s="191"/>
      <c r="S41" s="191"/>
      <c r="T41" s="209"/>
      <c r="U41" s="209"/>
      <c r="V41" s="209"/>
      <c r="W41" s="209"/>
      <c r="X41" s="209"/>
      <c r="Y41" s="209"/>
      <c r="Z41" s="209"/>
      <c r="AA41" s="209"/>
      <c r="AB41" s="9"/>
      <c r="AC41" s="266"/>
      <c r="AD41" s="266"/>
      <c r="AE41" s="269"/>
      <c r="AF41" s="269"/>
      <c r="AG41" s="251"/>
      <c r="AH41" s="266"/>
      <c r="AI41" s="266"/>
      <c r="AJ41" s="269"/>
      <c r="AK41" s="269"/>
      <c r="AL41" s="3"/>
      <c r="AM41" s="23"/>
      <c r="AN41" s="24"/>
      <c r="AO41" s="24"/>
      <c r="AP41" s="4"/>
      <c r="AQ41" s="4"/>
      <c r="AR41" s="4"/>
      <c r="AS41" s="4"/>
      <c r="AT41" s="4"/>
      <c r="AU41" s="4"/>
      <c r="AV41" s="4"/>
      <c r="AW41" s="4"/>
      <c r="AX41" s="4"/>
      <c r="AY41" s="3"/>
      <c r="AZ41" s="3"/>
      <c r="BA41" s="3"/>
      <c r="BB41" s="3"/>
      <c r="BC41" s="3"/>
      <c r="BD41" s="3"/>
      <c r="BE41" s="3"/>
      <c r="BF41" s="3"/>
      <c r="BG41" s="3"/>
      <c r="BH41" s="3"/>
      <c r="BI41" s="3"/>
    </row>
    <row r="42" spans="6:61" x14ac:dyDescent="0.15">
      <c r="G42" s="288"/>
      <c r="H42" s="218"/>
      <c r="I42" s="218"/>
      <c r="J42" s="218"/>
      <c r="K42" s="218"/>
      <c r="L42" s="14"/>
      <c r="M42" s="218"/>
      <c r="N42" s="218"/>
      <c r="O42" s="218"/>
      <c r="P42" s="283"/>
      <c r="R42" s="191"/>
      <c r="S42" s="197"/>
      <c r="T42" s="197"/>
      <c r="U42" s="198"/>
      <c r="V42" s="198"/>
      <c r="W42" s="198"/>
      <c r="X42" s="198"/>
      <c r="Y42" s="198"/>
      <c r="Z42" s="198"/>
      <c r="AA42" s="198"/>
      <c r="AB42" s="9"/>
      <c r="AC42" s="266"/>
      <c r="AD42" s="253"/>
      <c r="AE42" s="253"/>
      <c r="AF42" s="254"/>
      <c r="AG42" s="251"/>
      <c r="AH42" s="266"/>
      <c r="AI42" s="253"/>
      <c r="AJ42" s="253"/>
      <c r="AK42" s="254"/>
      <c r="AL42" s="3"/>
      <c r="AM42" s="23"/>
      <c r="AN42" s="24"/>
      <c r="AO42" s="24"/>
      <c r="AQ42" s="4"/>
      <c r="AR42" s="4"/>
      <c r="AS42" s="4"/>
      <c r="AT42" s="4"/>
      <c r="AU42" s="4"/>
      <c r="AV42" s="4"/>
      <c r="AW42" s="4"/>
      <c r="AX42" s="4"/>
      <c r="AY42" s="3"/>
      <c r="AZ42" s="3"/>
      <c r="BA42" s="3"/>
      <c r="BB42" s="3"/>
      <c r="BC42" s="3"/>
      <c r="BD42" s="3"/>
      <c r="BE42" s="3"/>
      <c r="BF42" s="3"/>
      <c r="BG42" s="3"/>
      <c r="BH42" s="3"/>
      <c r="BI42" s="3"/>
    </row>
    <row r="43" spans="6:61" x14ac:dyDescent="0.15">
      <c r="F43" s="220"/>
      <c r="G43" s="288"/>
      <c r="H43" s="218"/>
      <c r="I43" s="218"/>
      <c r="J43" s="218"/>
      <c r="K43" s="218"/>
      <c r="L43" s="14"/>
      <c r="M43" s="218"/>
      <c r="N43" s="218"/>
      <c r="O43" s="218"/>
      <c r="P43" s="283"/>
      <c r="R43" s="191"/>
      <c r="S43" s="207"/>
      <c r="T43" s="191"/>
      <c r="U43" s="191"/>
      <c r="V43" s="191"/>
      <c r="W43" s="191"/>
      <c r="X43" s="191"/>
      <c r="Y43" s="191"/>
      <c r="Z43" s="191"/>
      <c r="AA43" s="191"/>
      <c r="AB43" s="9"/>
      <c r="AC43" s="266"/>
      <c r="AD43" s="267"/>
      <c r="AE43" s="266"/>
      <c r="AF43" s="266"/>
      <c r="AG43" s="251"/>
      <c r="AH43" s="266"/>
      <c r="AI43" s="267"/>
      <c r="AJ43" s="266"/>
      <c r="AK43" s="266"/>
      <c r="AL43" s="3"/>
      <c r="AM43" s="23"/>
      <c r="AN43" s="24"/>
      <c r="AO43" s="24"/>
      <c r="AQ43" s="4"/>
      <c r="AR43" s="4"/>
      <c r="AS43" s="4"/>
      <c r="AT43" s="4"/>
      <c r="AU43" s="4"/>
      <c r="AV43" s="4"/>
      <c r="AW43" s="4"/>
      <c r="AX43" s="4"/>
      <c r="AY43" s="3"/>
      <c r="AZ43" s="3"/>
      <c r="BA43" s="3"/>
      <c r="BB43" s="3"/>
      <c r="BC43" s="3"/>
      <c r="BD43" s="3"/>
      <c r="BE43" s="3"/>
      <c r="BF43" s="3"/>
      <c r="BG43" s="3"/>
      <c r="BH43" s="3"/>
      <c r="BI43" s="3"/>
    </row>
    <row r="44" spans="6:61" x14ac:dyDescent="0.15">
      <c r="G44" s="288"/>
      <c r="H44" s="218"/>
      <c r="I44" s="218"/>
      <c r="J44" s="218"/>
      <c r="K44" s="218"/>
      <c r="L44" s="9"/>
      <c r="M44" s="218"/>
      <c r="N44" s="218"/>
      <c r="O44" s="218"/>
      <c r="P44" s="283"/>
      <c r="R44" s="209"/>
      <c r="S44" s="209"/>
      <c r="T44" s="209"/>
      <c r="U44" s="209"/>
      <c r="V44" s="209"/>
      <c r="W44" s="209"/>
      <c r="X44" s="209"/>
      <c r="Y44" s="209"/>
      <c r="Z44" s="209"/>
      <c r="AA44" s="209"/>
      <c r="AB44" s="9"/>
      <c r="AC44" s="269"/>
      <c r="AD44" s="269"/>
      <c r="AE44" s="269"/>
      <c r="AF44" s="269"/>
      <c r="AG44" s="251"/>
      <c r="AH44" s="269"/>
      <c r="AI44" s="269"/>
      <c r="AJ44" s="269"/>
      <c r="AK44" s="269"/>
      <c r="AL44" s="3"/>
      <c r="AM44" s="23"/>
      <c r="AN44" s="24"/>
      <c r="AO44" s="24"/>
      <c r="AQ44" s="4"/>
      <c r="AR44" s="4"/>
      <c r="AS44" s="4"/>
      <c r="AT44" s="4"/>
      <c r="AU44" s="4"/>
      <c r="AV44" s="4"/>
      <c r="AW44" s="4"/>
      <c r="AX44" s="4"/>
      <c r="AY44" s="3"/>
      <c r="AZ44" s="3"/>
      <c r="BA44" s="3"/>
      <c r="BB44" s="3"/>
      <c r="BC44" s="3"/>
      <c r="BD44" s="3"/>
      <c r="BE44" s="3"/>
      <c r="BF44" s="3"/>
      <c r="BG44" s="3"/>
      <c r="BH44" s="3"/>
      <c r="BI44" s="3"/>
    </row>
    <row r="45" spans="6:61" x14ac:dyDescent="0.15">
      <c r="F45" s="220"/>
      <c r="G45" s="288"/>
      <c r="H45" s="218"/>
      <c r="I45" s="218"/>
      <c r="J45" s="218"/>
      <c r="K45" s="218"/>
      <c r="L45" s="9"/>
      <c r="M45" s="218"/>
      <c r="N45" s="218"/>
      <c r="O45" s="218"/>
      <c r="P45" s="283"/>
      <c r="R45" s="191"/>
      <c r="S45" s="191"/>
      <c r="T45" s="210"/>
      <c r="U45" s="208"/>
      <c r="V45" s="208"/>
      <c r="W45" s="208"/>
      <c r="X45" s="208"/>
      <c r="Y45" s="208"/>
      <c r="Z45" s="208"/>
      <c r="AA45" s="208"/>
      <c r="AB45" s="9"/>
      <c r="AC45" s="266"/>
      <c r="AD45" s="266"/>
      <c r="AE45" s="270"/>
      <c r="AF45" s="268"/>
      <c r="AG45" s="251"/>
      <c r="AH45" s="266"/>
      <c r="AI45" s="266"/>
      <c r="AJ45" s="270"/>
      <c r="AK45" s="268"/>
      <c r="AL45" s="3"/>
      <c r="AM45" s="20" t="e">
        <f>#REF!&amp;IF(#REF!="","","階")&amp;IF(#REF!="","","－")&amp;#REF!</f>
        <v>#REF!</v>
      </c>
      <c r="AN45" s="24"/>
      <c r="AO45" s="24"/>
      <c r="AQ45" s="4"/>
      <c r="AR45" s="4"/>
      <c r="AS45" s="4"/>
      <c r="AT45" s="4"/>
      <c r="AU45" s="4"/>
      <c r="AV45" s="4"/>
      <c r="AW45" s="4"/>
      <c r="AX45" s="4"/>
      <c r="AY45" s="3"/>
      <c r="AZ45" s="3"/>
      <c r="BA45" s="3"/>
      <c r="BB45" s="3"/>
      <c r="BC45" s="3"/>
      <c r="BD45" s="3"/>
      <c r="BE45" s="3"/>
      <c r="BF45" s="3"/>
      <c r="BG45" s="3"/>
      <c r="BH45" s="3"/>
      <c r="BI45" s="3"/>
    </row>
    <row r="46" spans="6:61" x14ac:dyDescent="0.15">
      <c r="F46" s="220"/>
      <c r="G46" s="288"/>
      <c r="H46" s="289" t="s">
        <v>180</v>
      </c>
      <c r="I46" s="46"/>
      <c r="J46" s="289" t="s">
        <v>181</v>
      </c>
      <c r="K46" s="218"/>
      <c r="L46" s="276" t="s">
        <v>185</v>
      </c>
      <c r="M46" s="218"/>
      <c r="N46" s="218"/>
      <c r="O46" s="218"/>
      <c r="P46" s="283"/>
      <c r="R46" s="191"/>
      <c r="S46" s="191"/>
      <c r="T46" s="193"/>
      <c r="U46" s="211"/>
      <c r="V46" s="211"/>
      <c r="W46" s="211"/>
      <c r="X46" s="211"/>
      <c r="Y46" s="211"/>
      <c r="Z46" s="211"/>
      <c r="AA46" s="211"/>
      <c r="AB46" s="9"/>
      <c r="AC46" s="266"/>
      <c r="AD46" s="266"/>
      <c r="AE46" s="265"/>
      <c r="AF46" s="271"/>
      <c r="AG46" s="251"/>
      <c r="AH46" s="266"/>
      <c r="AI46" s="266"/>
      <c r="AJ46" s="265"/>
      <c r="AK46" s="271"/>
      <c r="AL46" s="3"/>
      <c r="AQ46" s="4"/>
      <c r="AR46" s="4"/>
      <c r="AS46" s="4"/>
      <c r="AT46" s="4"/>
      <c r="AU46" s="4"/>
      <c r="AV46" s="4"/>
      <c r="AW46" s="4"/>
      <c r="AX46" s="4"/>
      <c r="AY46" s="3"/>
      <c r="AZ46" s="3"/>
      <c r="BA46" s="3"/>
      <c r="BB46" s="3"/>
      <c r="BC46" s="3"/>
      <c r="BD46" s="3"/>
      <c r="BE46" s="3"/>
      <c r="BF46" s="3"/>
      <c r="BG46" s="3"/>
      <c r="BH46" s="3"/>
      <c r="BI46" s="3"/>
    </row>
    <row r="47" spans="6:61" x14ac:dyDescent="0.15">
      <c r="F47" s="3"/>
      <c r="G47" s="313"/>
      <c r="H47" s="367"/>
      <c r="I47" s="314" t="s">
        <v>138</v>
      </c>
      <c r="J47" s="367"/>
      <c r="K47" s="313" t="s">
        <v>138</v>
      </c>
      <c r="L47" s="277">
        <f>H47+J47</f>
        <v>0</v>
      </c>
      <c r="M47" s="288"/>
      <c r="N47" s="218"/>
      <c r="O47" s="218"/>
      <c r="P47" s="283"/>
      <c r="R47" s="209"/>
      <c r="S47" s="209"/>
      <c r="T47" s="195"/>
      <c r="U47" s="211"/>
      <c r="V47" s="211"/>
      <c r="W47" s="211"/>
      <c r="X47" s="211"/>
      <c r="Y47" s="211"/>
      <c r="Z47" s="211"/>
      <c r="AA47" s="211"/>
      <c r="AB47" s="9"/>
      <c r="AC47" s="269"/>
      <c r="AD47" s="269"/>
      <c r="AE47" s="272"/>
      <c r="AF47" s="271"/>
      <c r="AG47" s="251"/>
      <c r="AH47" s="269"/>
      <c r="AI47" s="269"/>
      <c r="AJ47" s="272"/>
      <c r="AK47" s="271"/>
      <c r="AL47" s="3"/>
      <c r="AM47" s="20" t="s">
        <v>39</v>
      </c>
      <c r="AN47" s="369" t="s">
        <v>133</v>
      </c>
      <c r="AO47" s="370"/>
      <c r="AP47" s="371"/>
      <c r="AQ47" s="4"/>
      <c r="AR47" s="4"/>
      <c r="AS47" s="4"/>
      <c r="AT47" s="4"/>
      <c r="AU47" s="4"/>
      <c r="AV47" s="4"/>
      <c r="AW47" s="4"/>
      <c r="AX47" s="4"/>
      <c r="AY47" s="3"/>
      <c r="AZ47" s="3"/>
      <c r="BA47" s="3"/>
      <c r="BB47" s="3"/>
      <c r="BC47" s="3"/>
      <c r="BD47" s="3"/>
      <c r="BE47" s="3"/>
      <c r="BF47" s="3"/>
      <c r="BG47" s="3"/>
      <c r="BH47" s="3"/>
      <c r="BI47" s="3"/>
    </row>
    <row r="48" spans="6:61" x14ac:dyDescent="0.15">
      <c r="F48" s="34"/>
      <c r="G48" s="290"/>
      <c r="H48" s="312"/>
      <c r="I48" s="241"/>
      <c r="J48" s="312"/>
      <c r="K48" s="241"/>
      <c r="L48" s="312"/>
      <c r="M48" s="241"/>
      <c r="N48" s="241"/>
      <c r="O48" s="241"/>
      <c r="P48" s="242"/>
      <c r="R48" s="195"/>
      <c r="S48" s="195"/>
      <c r="T48" s="195"/>
      <c r="U48" s="212"/>
      <c r="V48" s="212"/>
      <c r="W48" s="212"/>
      <c r="X48" s="212"/>
      <c r="Y48" s="212"/>
      <c r="Z48" s="212"/>
      <c r="AA48" s="212"/>
      <c r="AB48" s="8"/>
      <c r="AC48" s="272"/>
      <c r="AD48" s="272"/>
      <c r="AE48" s="272"/>
      <c r="AF48" s="273"/>
      <c r="AG48" s="260"/>
      <c r="AH48" s="272"/>
      <c r="AI48" s="272"/>
      <c r="AJ48" s="272"/>
      <c r="AK48" s="273"/>
      <c r="AL48" s="34"/>
      <c r="AM48" s="20" t="s">
        <v>40</v>
      </c>
      <c r="AN48" s="369" t="s">
        <v>134</v>
      </c>
      <c r="AO48" s="370"/>
      <c r="AP48" s="371"/>
      <c r="AQ48" s="4"/>
      <c r="AR48" s="4"/>
      <c r="AS48" s="4"/>
      <c r="AT48" s="4"/>
      <c r="AU48" s="4"/>
      <c r="AV48" s="4"/>
      <c r="AW48" s="4"/>
      <c r="AX48" s="4"/>
      <c r="AY48" s="34"/>
      <c r="AZ48" s="34"/>
      <c r="BA48" s="34"/>
      <c r="BB48" s="34"/>
      <c r="BC48" s="34"/>
      <c r="BD48" s="34"/>
      <c r="BE48" s="34"/>
      <c r="BF48" s="34"/>
      <c r="BG48" s="34"/>
      <c r="BH48" s="34"/>
      <c r="BI48" s="34"/>
    </row>
    <row r="49" spans="6:61" ht="12" customHeight="1" thickBot="1" x14ac:dyDescent="0.2">
      <c r="F49" s="3"/>
      <c r="R49" s="209"/>
      <c r="S49" s="209"/>
      <c r="T49" s="206"/>
      <c r="U49" s="206"/>
      <c r="V49" s="206"/>
      <c r="W49" s="206"/>
      <c r="X49" s="206"/>
      <c r="Y49" s="206"/>
      <c r="Z49" s="206"/>
      <c r="AA49" s="206"/>
      <c r="AB49" s="9"/>
      <c r="AC49" s="269"/>
      <c r="AD49" s="269"/>
      <c r="AE49" s="262"/>
      <c r="AF49" s="262"/>
      <c r="AG49" s="251"/>
      <c r="AH49" s="269"/>
      <c r="AI49" s="269"/>
      <c r="AJ49" s="262"/>
      <c r="AK49" s="262"/>
      <c r="AL49" s="3"/>
      <c r="AM49" s="23" t="s">
        <v>56</v>
      </c>
      <c r="AN49" s="369" t="s">
        <v>135</v>
      </c>
      <c r="AO49" s="370"/>
      <c r="AP49" s="371"/>
      <c r="AQ49" s="4"/>
      <c r="AR49" s="4"/>
      <c r="AS49" s="4"/>
      <c r="AT49" s="4"/>
      <c r="AU49" s="4"/>
      <c r="AV49" s="4"/>
      <c r="AW49" s="4"/>
      <c r="AX49" s="4"/>
      <c r="AY49" s="3"/>
      <c r="AZ49" s="3"/>
      <c r="BA49" s="3"/>
      <c r="BB49" s="3"/>
      <c r="BC49" s="3"/>
      <c r="BD49" s="3"/>
      <c r="BE49" s="3"/>
      <c r="BF49" s="3"/>
      <c r="BG49" s="3"/>
      <c r="BH49" s="3"/>
      <c r="BI49" s="3"/>
    </row>
    <row r="50" spans="6:61" ht="14.25" thickBot="1" x14ac:dyDescent="0.2">
      <c r="F50" s="3"/>
      <c r="G50" s="297" t="s">
        <v>204</v>
      </c>
      <c r="H50" s="298"/>
      <c r="I50" s="299"/>
      <c r="L50" s="14"/>
      <c r="R50" s="14"/>
      <c r="S50" s="14"/>
      <c r="T50" s="14"/>
      <c r="U50" s="14"/>
      <c r="V50" s="14"/>
      <c r="W50" s="14"/>
      <c r="X50" s="14"/>
      <c r="Y50" s="14"/>
      <c r="Z50" s="14"/>
      <c r="AA50" s="14"/>
      <c r="AB50" s="14"/>
      <c r="AC50" s="251"/>
      <c r="AD50" s="251"/>
      <c r="AE50" s="251"/>
      <c r="AF50" s="251"/>
      <c r="AG50" s="251"/>
      <c r="AH50" s="251"/>
      <c r="AI50" s="251"/>
      <c r="AJ50" s="251"/>
      <c r="AK50" s="251"/>
      <c r="AL50" s="3"/>
      <c r="AM50" s="23" t="s">
        <v>61</v>
      </c>
      <c r="AN50" s="369" t="s">
        <v>136</v>
      </c>
      <c r="AO50" s="370"/>
      <c r="AP50" s="371"/>
      <c r="AQ50" s="4"/>
      <c r="AR50" s="4"/>
      <c r="AS50" s="4"/>
      <c r="AT50" s="4"/>
      <c r="AU50" s="4"/>
      <c r="AV50" s="4"/>
      <c r="AW50" s="4"/>
      <c r="AX50" s="4"/>
      <c r="AY50" s="3"/>
      <c r="AZ50" s="3"/>
      <c r="BA50" s="3"/>
      <c r="BB50" s="3"/>
      <c r="BC50" s="3"/>
      <c r="BD50" s="3"/>
      <c r="BE50" s="3"/>
      <c r="BF50" s="3"/>
      <c r="BG50" s="3"/>
      <c r="BH50" s="3"/>
      <c r="BI50" s="3"/>
    </row>
    <row r="51" spans="6:61" x14ac:dyDescent="0.15">
      <c r="F51" s="220"/>
      <c r="G51" s="284"/>
      <c r="H51" s="218"/>
      <c r="I51" s="218"/>
      <c r="J51" s="287"/>
      <c r="K51" s="287"/>
      <c r="L51" s="287"/>
      <c r="M51" s="287"/>
      <c r="N51" s="287"/>
      <c r="O51" s="287"/>
      <c r="P51" s="291"/>
      <c r="Q51" s="14"/>
      <c r="R51" s="14"/>
      <c r="S51" s="14"/>
      <c r="T51" s="14"/>
      <c r="U51" s="14"/>
      <c r="V51" s="14"/>
      <c r="W51" s="14"/>
      <c r="X51" s="14"/>
      <c r="Y51" s="14"/>
      <c r="Z51" s="14"/>
      <c r="AA51" s="14"/>
      <c r="AB51" s="14"/>
      <c r="AC51" s="251"/>
      <c r="AD51" s="251"/>
      <c r="AE51" s="251"/>
      <c r="AF51" s="251"/>
      <c r="AG51" s="251"/>
      <c r="AH51" s="251"/>
      <c r="AI51" s="251"/>
      <c r="AJ51" s="251"/>
      <c r="AK51" s="251"/>
      <c r="AL51" s="3"/>
      <c r="AM51" s="23" t="s">
        <v>89</v>
      </c>
      <c r="AN51" s="369" t="s">
        <v>137</v>
      </c>
      <c r="AO51" s="370"/>
      <c r="AP51" s="371"/>
      <c r="AQ51" s="4"/>
      <c r="AR51" s="4"/>
      <c r="AS51" s="4"/>
      <c r="AT51" s="4"/>
      <c r="AU51" s="4"/>
      <c r="AV51" s="4"/>
      <c r="AW51" s="4"/>
      <c r="AX51" s="4"/>
      <c r="AY51" s="3"/>
      <c r="AZ51" s="3"/>
      <c r="BA51" s="3"/>
      <c r="BB51" s="3"/>
      <c r="BC51" s="3"/>
      <c r="BD51" s="3"/>
      <c r="BE51" s="3"/>
      <c r="BF51" s="3"/>
      <c r="BG51" s="3"/>
      <c r="BH51" s="3"/>
      <c r="BI51" s="3"/>
    </row>
    <row r="52" spans="6:61" ht="13.5" customHeight="1" x14ac:dyDescent="0.15">
      <c r="F52" s="3"/>
      <c r="G52" s="359" t="s">
        <v>242</v>
      </c>
      <c r="H52" s="241"/>
      <c r="I52" s="242"/>
      <c r="J52" s="240">
        <f ca="1">'②「流量A」 計算'!I53</f>
        <v>0</v>
      </c>
      <c r="K52" s="218" t="s">
        <v>176</v>
      </c>
      <c r="L52" s="339" t="s">
        <v>50</v>
      </c>
      <c r="N52" s="337"/>
      <c r="O52" s="337"/>
      <c r="P52" s="338"/>
      <c r="Q52" s="220"/>
      <c r="R52" s="14"/>
      <c r="S52" s="14"/>
      <c r="T52" s="14"/>
      <c r="U52" s="14"/>
      <c r="V52" s="14"/>
      <c r="W52" s="14"/>
      <c r="X52" s="14"/>
      <c r="Y52" s="14"/>
      <c r="Z52" s="14"/>
      <c r="AA52" s="14"/>
      <c r="AB52" s="14"/>
      <c r="AC52" s="251"/>
      <c r="AD52" s="251"/>
      <c r="AE52" s="251"/>
      <c r="AF52" s="251"/>
      <c r="AG52" s="251"/>
      <c r="AH52" s="251"/>
      <c r="AI52" s="251"/>
      <c r="AJ52" s="251"/>
      <c r="AK52" s="251"/>
      <c r="AL52" s="3"/>
      <c r="AM52" s="23" t="s">
        <v>246</v>
      </c>
      <c r="AN52" s="20" t="s">
        <v>253</v>
      </c>
      <c r="AO52" s="21"/>
      <c r="AP52" s="21"/>
      <c r="AQ52" s="4"/>
      <c r="AR52" s="4"/>
      <c r="AS52" s="4"/>
      <c r="AT52" s="4"/>
      <c r="AU52" s="4"/>
      <c r="AV52" s="4"/>
      <c r="AW52" s="4"/>
      <c r="AX52" s="4"/>
      <c r="AY52" s="3"/>
      <c r="AZ52" s="3"/>
      <c r="BA52" s="3"/>
      <c r="BB52" s="3"/>
      <c r="BC52" s="3"/>
      <c r="BD52" s="3"/>
      <c r="BE52" s="3"/>
      <c r="BF52" s="3"/>
      <c r="BG52" s="3"/>
      <c r="BH52" s="3"/>
      <c r="BI52" s="3"/>
    </row>
    <row r="53" spans="6:61" ht="14.25" thickBot="1" x14ac:dyDescent="0.2">
      <c r="G53" s="288"/>
      <c r="H53" s="218"/>
      <c r="I53" s="218"/>
      <c r="J53" s="218"/>
      <c r="K53" s="218"/>
      <c r="L53" s="2" t="str">
        <f>IF(AND(H4="",J4=""),"左記②～⑤の計算結果より、本系統では",CONCATENATE("左記②～⑤の計算結果より、",AM36,"系統では"))</f>
        <v>左記②～⑤の計算結果より、本系統では</v>
      </c>
      <c r="M53" s="337"/>
      <c r="N53" s="321"/>
      <c r="O53" s="321"/>
      <c r="P53" s="322"/>
      <c r="Q53" s="14"/>
      <c r="R53" s="14"/>
      <c r="S53" s="14"/>
      <c r="T53" s="14"/>
      <c r="U53" s="14"/>
      <c r="V53" s="14"/>
      <c r="W53" s="14"/>
      <c r="X53" s="14"/>
      <c r="Y53" s="14"/>
      <c r="Z53" s="14"/>
      <c r="AA53" s="14"/>
      <c r="AB53" s="14"/>
      <c r="AC53" s="251"/>
      <c r="AD53" s="251"/>
      <c r="AE53" s="251"/>
      <c r="AF53" s="251"/>
      <c r="AG53" s="251"/>
      <c r="AH53" s="251"/>
      <c r="AI53" s="251"/>
      <c r="AJ53" s="251"/>
      <c r="AK53" s="251"/>
      <c r="AL53" s="3"/>
      <c r="AO53" s="4"/>
      <c r="AP53" s="4"/>
      <c r="AQ53" s="4"/>
      <c r="AR53" s="4"/>
      <c r="AS53" s="4"/>
      <c r="AT53" s="4"/>
      <c r="AU53" s="4"/>
      <c r="AV53" s="4"/>
      <c r="AW53" s="4"/>
      <c r="AX53" s="4"/>
      <c r="AY53" s="3"/>
      <c r="AZ53" s="3"/>
      <c r="BA53" s="3"/>
      <c r="BB53" s="3"/>
      <c r="BC53" s="3"/>
      <c r="BD53" s="3"/>
      <c r="BE53" s="3"/>
      <c r="BF53" s="3"/>
      <c r="BG53" s="3"/>
      <c r="BH53" s="3"/>
      <c r="BI53" s="3"/>
    </row>
    <row r="54" spans="6:61" ht="14.25" thickBot="1" x14ac:dyDescent="0.2">
      <c r="G54" s="359" t="s">
        <v>243</v>
      </c>
      <c r="H54" s="241"/>
      <c r="I54" s="242"/>
      <c r="J54" s="240">
        <f>③「流量B」計算!I53</f>
        <v>0</v>
      </c>
      <c r="K54" s="218" t="s">
        <v>176</v>
      </c>
      <c r="L54" s="320">
        <f ca="1">MAX(J52:J58)</f>
        <v>0</v>
      </c>
      <c r="M54" s="220" t="s">
        <v>229</v>
      </c>
      <c r="N54" s="220"/>
      <c r="O54" s="220"/>
      <c r="P54" s="292"/>
      <c r="Q54" s="3"/>
      <c r="R54" s="14"/>
      <c r="S54" s="14"/>
      <c r="T54" s="14"/>
      <c r="U54" s="14"/>
      <c r="V54" s="14"/>
      <c r="W54" s="14"/>
      <c r="X54" s="14"/>
      <c r="Y54" s="14"/>
      <c r="Z54" s="14"/>
      <c r="AA54" s="14"/>
      <c r="AB54" s="14"/>
      <c r="AC54" s="251"/>
      <c r="AD54" s="251"/>
      <c r="AE54" s="251"/>
      <c r="AF54" s="251"/>
      <c r="AG54" s="251"/>
      <c r="AH54" s="251"/>
      <c r="AI54" s="251"/>
      <c r="AJ54" s="251"/>
      <c r="AK54" s="251"/>
      <c r="AL54" s="3"/>
      <c r="AM54" s="3" t="s">
        <v>183</v>
      </c>
      <c r="AN54" s="4"/>
      <c r="AO54" s="4"/>
      <c r="AP54" s="4"/>
      <c r="AQ54" s="4"/>
      <c r="AR54" s="4"/>
      <c r="AS54" s="4"/>
      <c r="AT54" s="4"/>
      <c r="AU54" s="4"/>
      <c r="AV54" s="4"/>
      <c r="AW54" s="4"/>
      <c r="AX54" s="4"/>
      <c r="AY54" s="3"/>
      <c r="AZ54" s="3"/>
      <c r="BA54" s="3"/>
      <c r="BB54" s="3"/>
      <c r="BC54" s="3"/>
      <c r="BD54" s="3"/>
      <c r="BE54" s="3"/>
      <c r="BF54" s="3"/>
      <c r="BG54" s="3"/>
      <c r="BH54" s="3"/>
      <c r="BI54" s="3"/>
    </row>
    <row r="55" spans="6:61" x14ac:dyDescent="0.15">
      <c r="G55" s="288"/>
      <c r="H55" s="218"/>
      <c r="I55" s="218"/>
      <c r="J55" s="209"/>
      <c r="K55" s="218"/>
      <c r="P55" s="292"/>
      <c r="Q55" s="3"/>
      <c r="R55" s="3"/>
      <c r="S55" s="3"/>
      <c r="T55" s="3"/>
      <c r="U55" s="3"/>
      <c r="V55" s="3"/>
      <c r="W55" s="3"/>
      <c r="X55" s="3"/>
      <c r="Y55" s="3"/>
      <c r="Z55" s="3"/>
      <c r="AA55" s="3"/>
      <c r="AB55" s="3"/>
      <c r="AC55" s="248"/>
      <c r="AD55" s="248"/>
      <c r="AE55" s="248"/>
      <c r="AF55" s="248"/>
      <c r="AG55" s="248"/>
      <c r="AH55" s="248"/>
      <c r="AI55" s="248"/>
      <c r="AJ55" s="248"/>
      <c r="AK55" s="248"/>
      <c r="AL55" s="3"/>
      <c r="AM55" s="3" t="s">
        <v>186</v>
      </c>
      <c r="AN55" s="4"/>
      <c r="AO55" s="4"/>
      <c r="AP55" s="4"/>
      <c r="AQ55" s="4"/>
      <c r="AR55" s="4"/>
      <c r="AS55" s="4"/>
      <c r="AT55" s="4"/>
      <c r="AU55" s="4"/>
      <c r="AV55" s="4"/>
      <c r="AW55" s="4"/>
      <c r="AX55" s="4"/>
      <c r="AY55" s="3"/>
      <c r="AZ55" s="3"/>
      <c r="BA55" s="3"/>
      <c r="BB55" s="3"/>
      <c r="BC55" s="3"/>
      <c r="BD55" s="3"/>
      <c r="BE55" s="3"/>
      <c r="BF55" s="3"/>
      <c r="BG55" s="3"/>
      <c r="BH55" s="3"/>
      <c r="BI55" s="3"/>
    </row>
    <row r="56" spans="6:61" x14ac:dyDescent="0.15">
      <c r="F56" s="3"/>
      <c r="G56" s="359" t="s">
        <v>244</v>
      </c>
      <c r="H56" s="241"/>
      <c r="I56" s="242"/>
      <c r="J56" s="240">
        <f ca="1">IF(J52=0,0,◆入力◆④「1個放水」計算!I53)</f>
        <v>0</v>
      </c>
      <c r="K56" s="220" t="s">
        <v>175</v>
      </c>
      <c r="P56" s="292"/>
      <c r="Q56" s="3"/>
      <c r="R56" s="3"/>
      <c r="S56" s="3"/>
      <c r="T56" s="3"/>
      <c r="U56" s="3"/>
      <c r="V56" s="3"/>
      <c r="W56" s="3"/>
      <c r="X56" s="3"/>
      <c r="Y56" s="3"/>
      <c r="Z56" s="3"/>
      <c r="AA56" s="3"/>
      <c r="AB56" s="3"/>
      <c r="AC56" s="3"/>
      <c r="AD56" s="3"/>
      <c r="AE56" s="3"/>
      <c r="AF56" s="3"/>
      <c r="AG56" s="3"/>
      <c r="AH56" s="3"/>
      <c r="AI56" s="3"/>
      <c r="AJ56" s="3"/>
      <c r="AK56" s="3"/>
      <c r="AL56" s="3"/>
      <c r="AM56" s="3" t="s">
        <v>184</v>
      </c>
      <c r="AN56" s="4"/>
      <c r="AO56" s="4"/>
      <c r="AP56" s="4"/>
      <c r="AQ56" s="4"/>
      <c r="AR56" s="4"/>
      <c r="AS56" s="4"/>
      <c r="AT56" s="4"/>
      <c r="AU56" s="4"/>
      <c r="AV56" s="4"/>
      <c r="AW56" s="4"/>
      <c r="AX56" s="4"/>
      <c r="AY56" s="3"/>
      <c r="AZ56" s="3"/>
      <c r="BA56" s="3"/>
      <c r="BB56" s="3"/>
      <c r="BC56" s="3"/>
      <c r="BD56" s="3"/>
      <c r="BE56" s="3"/>
      <c r="BF56" s="3"/>
      <c r="BG56" s="3"/>
      <c r="BH56" s="3"/>
      <c r="BI56" s="3"/>
    </row>
    <row r="57" spans="6:61" x14ac:dyDescent="0.15">
      <c r="F57" s="3"/>
      <c r="G57" s="284"/>
      <c r="H57" s="220"/>
      <c r="I57" s="220"/>
      <c r="J57" s="220"/>
      <c r="K57" s="220"/>
      <c r="L57" s="339" t="s">
        <v>84</v>
      </c>
      <c r="P57" s="292"/>
      <c r="Q57" s="3"/>
      <c r="R57" s="3"/>
      <c r="S57" s="3"/>
      <c r="T57" s="3"/>
      <c r="U57" s="3"/>
      <c r="V57" s="3"/>
      <c r="W57" s="3"/>
      <c r="X57" s="3"/>
      <c r="Y57" s="3"/>
      <c r="Z57" s="3"/>
      <c r="AA57" s="3"/>
      <c r="AB57" s="3"/>
      <c r="AC57" s="3"/>
      <c r="AD57" s="3"/>
      <c r="AE57" s="3"/>
      <c r="AF57" s="3"/>
      <c r="AG57" s="3"/>
      <c r="AH57" s="3"/>
      <c r="AI57" s="3"/>
      <c r="AJ57" s="3"/>
      <c r="AK57" s="3"/>
      <c r="AL57" s="3"/>
      <c r="AM57" s="3"/>
      <c r="AN57" s="4"/>
      <c r="AO57" s="4"/>
      <c r="AP57" s="4"/>
      <c r="AQ57" s="4"/>
      <c r="AR57" s="4"/>
      <c r="AS57" s="4"/>
      <c r="AT57" s="4"/>
      <c r="AU57" s="4"/>
      <c r="AV57" s="4"/>
      <c r="AW57" s="4"/>
      <c r="AX57" s="4"/>
      <c r="AY57" s="3"/>
      <c r="AZ57" s="3"/>
      <c r="BA57" s="3"/>
      <c r="BB57" s="3"/>
      <c r="BC57" s="3"/>
      <c r="BD57" s="3"/>
      <c r="BE57" s="3"/>
      <c r="BF57" s="3"/>
      <c r="BG57" s="3"/>
      <c r="BH57" s="3"/>
      <c r="BI57" s="3"/>
    </row>
    <row r="58" spans="6:61" ht="14.25" thickBot="1" x14ac:dyDescent="0.2">
      <c r="F58" s="3"/>
      <c r="G58" s="439" t="s">
        <v>245</v>
      </c>
      <c r="H58" s="241"/>
      <c r="I58" s="242"/>
      <c r="J58" s="440">
        <f ca="1">IF(J52=0,0,◆入力◆⑤「4個同時放水」計算!I53)</f>
        <v>0</v>
      </c>
      <c r="K58" s="220" t="s">
        <v>175</v>
      </c>
      <c r="L58" s="220" t="s">
        <v>205</v>
      </c>
      <c r="M58" s="220"/>
      <c r="N58" s="220"/>
      <c r="O58" s="220"/>
      <c r="P58" s="283"/>
      <c r="Q58" s="3"/>
      <c r="R58" s="3"/>
      <c r="S58" s="3"/>
      <c r="T58" s="3"/>
      <c r="U58" s="3"/>
      <c r="V58" s="3"/>
      <c r="W58" s="3"/>
      <c r="X58" s="3"/>
      <c r="Y58" s="3"/>
      <c r="Z58" s="3"/>
      <c r="AA58" s="3"/>
      <c r="AB58" s="3"/>
      <c r="AC58" s="3"/>
      <c r="AD58" s="3"/>
      <c r="AE58" s="3"/>
      <c r="AF58" s="3"/>
      <c r="AG58" s="3"/>
      <c r="AH58" s="3"/>
      <c r="AI58" s="3"/>
      <c r="AJ58" s="3"/>
      <c r="AK58" s="3"/>
      <c r="AL58" s="3"/>
      <c r="AN58" s="4"/>
      <c r="AO58" s="4"/>
      <c r="AP58" s="4"/>
      <c r="AQ58" s="4"/>
      <c r="AR58" s="4"/>
      <c r="AS58" s="4"/>
      <c r="AT58" s="4"/>
      <c r="AU58" s="4"/>
      <c r="AV58" s="4"/>
      <c r="AW58" s="4"/>
      <c r="AX58" s="4"/>
      <c r="AY58" s="3"/>
      <c r="AZ58" s="3"/>
      <c r="BA58" s="3"/>
      <c r="BB58" s="3"/>
      <c r="BC58" s="3"/>
      <c r="BD58" s="3"/>
      <c r="BE58" s="3"/>
      <c r="BF58" s="3"/>
      <c r="BG58" s="3"/>
      <c r="BH58" s="3"/>
      <c r="BI58" s="3"/>
    </row>
    <row r="59" spans="6:61" ht="14.25" thickBot="1" x14ac:dyDescent="0.2">
      <c r="F59" s="3"/>
      <c r="G59" s="284"/>
      <c r="H59" s="220"/>
      <c r="I59" s="220"/>
      <c r="J59" s="220"/>
      <c r="K59" s="220"/>
      <c r="L59" s="320">
        <f ca="1">J60</f>
        <v>0</v>
      </c>
      <c r="M59" s="220" t="s">
        <v>206</v>
      </c>
      <c r="N59" s="220"/>
      <c r="O59" s="220"/>
      <c r="P59" s="283"/>
      <c r="Q59" s="3"/>
      <c r="R59" s="3"/>
      <c r="S59" s="3"/>
      <c r="T59" s="3"/>
      <c r="U59" s="3"/>
      <c r="V59" s="3"/>
      <c r="W59" s="3"/>
      <c r="X59" s="3"/>
      <c r="Y59" s="3"/>
      <c r="Z59" s="3"/>
      <c r="AA59" s="3"/>
      <c r="AB59" s="3"/>
      <c r="AC59" s="3"/>
      <c r="AD59" s="3"/>
      <c r="AE59" s="3"/>
      <c r="AF59" s="3"/>
      <c r="AG59" s="3"/>
      <c r="AH59" s="3"/>
      <c r="AI59" s="3"/>
      <c r="AJ59" s="3"/>
      <c r="AK59" s="3"/>
      <c r="AL59" s="3"/>
      <c r="AN59" s="4"/>
      <c r="AO59" s="4"/>
      <c r="AP59" s="4"/>
      <c r="AQ59" s="4"/>
      <c r="AR59" s="4"/>
      <c r="AS59" s="4"/>
      <c r="AT59" s="4"/>
      <c r="AU59" s="4"/>
      <c r="AV59" s="4"/>
      <c r="AW59" s="4"/>
      <c r="AX59" s="4"/>
      <c r="AY59" s="3"/>
      <c r="AZ59" s="3"/>
      <c r="BA59" s="3"/>
      <c r="BB59" s="3"/>
      <c r="BC59" s="3"/>
      <c r="BD59" s="3"/>
      <c r="BE59" s="3"/>
      <c r="BF59" s="3"/>
      <c r="BG59" s="3"/>
      <c r="BH59" s="3"/>
      <c r="BI59" s="3"/>
    </row>
    <row r="60" spans="6:61" x14ac:dyDescent="0.15">
      <c r="F60" s="3"/>
      <c r="G60" s="359" t="s">
        <v>207</v>
      </c>
      <c r="H60" s="241"/>
      <c r="I60" s="241"/>
      <c r="J60" s="240">
        <f ca="1">IF(J52=0,0,⑥放水試験圧力!I53)</f>
        <v>0</v>
      </c>
      <c r="K60" s="218" t="s">
        <v>203</v>
      </c>
      <c r="L60" s="218"/>
      <c r="M60" s="218"/>
      <c r="N60" s="218"/>
      <c r="O60" s="218"/>
      <c r="P60" s="283"/>
      <c r="Q60" s="3"/>
      <c r="R60" s="3"/>
      <c r="S60" s="3"/>
      <c r="T60" s="3"/>
      <c r="U60" s="3"/>
      <c r="V60" s="3"/>
      <c r="W60" s="3"/>
      <c r="X60" s="3"/>
      <c r="Y60" s="3"/>
      <c r="Z60" s="3"/>
      <c r="AA60" s="3"/>
      <c r="AB60" s="3"/>
      <c r="AC60" s="3"/>
      <c r="AD60" s="3"/>
      <c r="AE60" s="3"/>
      <c r="AF60" s="3"/>
      <c r="AG60" s="3"/>
      <c r="AH60" s="3"/>
      <c r="AI60" s="3"/>
      <c r="AJ60" s="3"/>
      <c r="AK60" s="3"/>
      <c r="AL60" s="3"/>
      <c r="AM60" s="3"/>
      <c r="AN60" s="4"/>
      <c r="AO60" s="4"/>
      <c r="AP60" s="4"/>
      <c r="AQ60" s="4"/>
      <c r="AR60" s="4"/>
      <c r="AS60" s="4"/>
      <c r="AT60" s="4"/>
      <c r="AU60" s="4"/>
      <c r="AV60" s="4"/>
      <c r="AW60" s="4"/>
      <c r="AX60" s="4"/>
      <c r="AY60" s="3"/>
      <c r="AZ60" s="3"/>
      <c r="BA60" s="3"/>
      <c r="BB60" s="3"/>
      <c r="BC60" s="3"/>
      <c r="BD60" s="3"/>
      <c r="BE60" s="3"/>
      <c r="BF60" s="3"/>
      <c r="BG60" s="3"/>
      <c r="BH60" s="3"/>
      <c r="BI60" s="3"/>
    </row>
    <row r="61" spans="6:61" x14ac:dyDescent="0.15">
      <c r="F61" s="3"/>
      <c r="G61" s="290"/>
      <c r="H61" s="241"/>
      <c r="I61" s="241"/>
      <c r="J61" s="241"/>
      <c r="K61" s="241"/>
      <c r="L61" s="241"/>
      <c r="M61" s="241"/>
      <c r="N61" s="241"/>
      <c r="O61" s="241"/>
      <c r="P61" s="242"/>
      <c r="R61" s="3"/>
      <c r="S61" s="3"/>
      <c r="T61" s="3"/>
      <c r="U61" s="3"/>
      <c r="V61" s="3"/>
      <c r="W61" s="3"/>
      <c r="X61" s="3"/>
      <c r="Y61" s="3"/>
      <c r="Z61" s="3"/>
      <c r="AA61" s="3"/>
      <c r="AB61" s="3"/>
      <c r="AC61" s="3"/>
      <c r="AD61" s="3"/>
      <c r="AE61" s="3"/>
      <c r="AF61" s="3"/>
      <c r="AG61" s="3"/>
      <c r="AH61" s="3"/>
      <c r="AI61" s="3"/>
      <c r="AJ61" s="3"/>
      <c r="AK61" s="3"/>
      <c r="AL61" s="3"/>
      <c r="AM61" s="3"/>
      <c r="AN61" s="4"/>
      <c r="AO61" s="4"/>
      <c r="AP61" s="4"/>
      <c r="AQ61" s="4"/>
      <c r="AR61" s="4"/>
      <c r="AS61" s="4"/>
      <c r="AT61" s="4"/>
      <c r="AU61" s="4"/>
      <c r="AV61" s="4"/>
      <c r="AW61" s="4"/>
      <c r="AX61" s="4"/>
      <c r="AY61" s="3"/>
      <c r="AZ61" s="3"/>
      <c r="BA61" s="3"/>
      <c r="BB61" s="3"/>
      <c r="BC61" s="3"/>
      <c r="BD61" s="3"/>
      <c r="BE61" s="3"/>
      <c r="BF61" s="3"/>
      <c r="BG61" s="3"/>
      <c r="BH61" s="3"/>
      <c r="BI61" s="3"/>
    </row>
    <row r="62" spans="6:61" x14ac:dyDescent="0.15">
      <c r="F62" s="3"/>
      <c r="G62" s="218"/>
      <c r="H62" s="218"/>
      <c r="I62" s="218"/>
      <c r="J62" s="218"/>
      <c r="K62" s="218"/>
      <c r="L62" s="218"/>
      <c r="M62" s="218"/>
      <c r="N62" s="218"/>
      <c r="O62" s="218"/>
      <c r="P62" s="218"/>
      <c r="R62" s="3"/>
      <c r="S62" s="3"/>
      <c r="T62" s="3"/>
      <c r="U62" s="3"/>
      <c r="V62" s="3"/>
      <c r="W62" s="3"/>
      <c r="X62" s="3"/>
      <c r="Y62" s="3"/>
      <c r="Z62" s="3"/>
      <c r="AA62" s="3"/>
      <c r="AB62" s="3"/>
      <c r="AC62" s="3"/>
      <c r="AD62" s="3"/>
      <c r="AE62" s="3"/>
      <c r="AF62" s="3"/>
      <c r="AG62" s="3"/>
      <c r="AH62" s="3"/>
      <c r="AI62" s="3"/>
      <c r="AJ62" s="3"/>
      <c r="AK62" s="3"/>
      <c r="AL62" s="3"/>
      <c r="AM62" s="3"/>
      <c r="AN62" s="4"/>
      <c r="AO62" s="4"/>
      <c r="AP62" s="4"/>
      <c r="AQ62" s="4"/>
      <c r="AR62" s="4"/>
      <c r="AS62" s="4"/>
      <c r="AT62" s="4"/>
      <c r="AU62" s="4"/>
      <c r="AV62" s="4"/>
      <c r="AW62" s="4"/>
      <c r="AX62" s="4"/>
      <c r="AY62" s="3"/>
      <c r="AZ62" s="3"/>
      <c r="BA62" s="3"/>
      <c r="BB62" s="3"/>
      <c r="BC62" s="3"/>
      <c r="BD62" s="3"/>
      <c r="BE62" s="3"/>
      <c r="BF62" s="3"/>
      <c r="BG62" s="3"/>
      <c r="BH62" s="3"/>
      <c r="BI62" s="3"/>
    </row>
    <row r="63" spans="6:61" x14ac:dyDescent="0.15">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4"/>
      <c r="AO63" s="4"/>
      <c r="AP63" s="4"/>
      <c r="AQ63" s="4"/>
      <c r="AR63" s="4"/>
      <c r="AS63" s="4"/>
      <c r="AT63" s="4"/>
      <c r="AU63" s="4"/>
      <c r="AV63" s="4"/>
      <c r="AW63" s="4"/>
      <c r="AX63" s="4"/>
      <c r="AY63" s="3"/>
      <c r="AZ63" s="3"/>
      <c r="BA63" s="3"/>
      <c r="BB63" s="3"/>
      <c r="BC63" s="3"/>
      <c r="BD63" s="3"/>
      <c r="BE63" s="3"/>
      <c r="BF63" s="3"/>
      <c r="BG63" s="3"/>
      <c r="BH63" s="3"/>
      <c r="BI63" s="3"/>
    </row>
    <row r="64" spans="6:61" x14ac:dyDescent="0.15">
      <c r="F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4"/>
      <c r="AO64" s="4"/>
      <c r="AP64" s="4"/>
      <c r="AQ64" s="4"/>
      <c r="AR64" s="4"/>
      <c r="AS64" s="4"/>
      <c r="AT64" s="4"/>
      <c r="AU64" s="4"/>
      <c r="AV64" s="4"/>
      <c r="AW64" s="4"/>
      <c r="AX64" s="4"/>
      <c r="AY64" s="3"/>
      <c r="AZ64" s="3"/>
      <c r="BA64" s="3"/>
      <c r="BB64" s="3"/>
      <c r="BC64" s="3"/>
      <c r="BD64" s="3"/>
      <c r="BE64" s="3"/>
      <c r="BF64" s="3"/>
      <c r="BG64" s="3"/>
      <c r="BH64" s="3"/>
      <c r="BI64" s="3"/>
    </row>
    <row r="65" spans="6:61" x14ac:dyDescent="0.15">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4"/>
      <c r="AO65" s="4"/>
      <c r="AP65" s="4"/>
      <c r="AQ65" s="4"/>
      <c r="AR65" s="4"/>
      <c r="AS65" s="4"/>
      <c r="AT65" s="4"/>
      <c r="AU65" s="4"/>
      <c r="AV65" s="4"/>
      <c r="AW65" s="4"/>
      <c r="AX65" s="4"/>
      <c r="AY65" s="3"/>
      <c r="AZ65" s="3"/>
      <c r="BA65" s="3"/>
      <c r="BB65" s="3"/>
      <c r="BC65" s="3"/>
      <c r="BD65" s="3"/>
      <c r="BE65" s="3"/>
      <c r="BF65" s="3"/>
      <c r="BG65" s="3"/>
      <c r="BH65" s="3"/>
      <c r="BI65" s="3"/>
    </row>
    <row r="66" spans="6:61" x14ac:dyDescent="0.15">
      <c r="F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4"/>
      <c r="AO66" s="4"/>
      <c r="AP66" s="4"/>
      <c r="AQ66" s="4"/>
      <c r="AR66" s="4"/>
      <c r="AS66" s="4"/>
      <c r="AT66" s="4"/>
      <c r="AU66" s="4"/>
      <c r="AV66" s="4"/>
      <c r="AW66" s="4"/>
      <c r="AX66" s="4"/>
      <c r="AY66" s="3"/>
      <c r="AZ66" s="3"/>
      <c r="BA66" s="3"/>
      <c r="BB66" s="3"/>
      <c r="BC66" s="3"/>
      <c r="BD66" s="3"/>
      <c r="BE66" s="3"/>
      <c r="BF66" s="3"/>
      <c r="BG66" s="3"/>
      <c r="BH66" s="3"/>
      <c r="BI66" s="3"/>
    </row>
    <row r="67" spans="6:61" x14ac:dyDescent="0.15">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4"/>
      <c r="AO67" s="4"/>
      <c r="AP67" s="4"/>
      <c r="AQ67" s="4"/>
      <c r="AR67" s="4"/>
      <c r="AS67" s="4"/>
      <c r="AT67" s="4"/>
      <c r="AU67" s="4"/>
      <c r="AV67" s="4"/>
      <c r="AW67" s="4"/>
      <c r="AX67" s="4"/>
      <c r="AY67" s="3"/>
      <c r="AZ67" s="3"/>
      <c r="BA67" s="3"/>
      <c r="BB67" s="3"/>
      <c r="BC67" s="3"/>
      <c r="BD67" s="3"/>
      <c r="BE67" s="3"/>
      <c r="BF67" s="3"/>
      <c r="BG67" s="3"/>
      <c r="BH67" s="3"/>
      <c r="BI67" s="3"/>
    </row>
    <row r="68" spans="6:61" x14ac:dyDescent="0.15">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4"/>
      <c r="AO68" s="4"/>
      <c r="AP68" s="4"/>
      <c r="AQ68" s="4"/>
      <c r="AR68" s="4"/>
      <c r="AS68" s="4"/>
      <c r="AT68" s="4"/>
      <c r="AU68" s="4"/>
      <c r="AV68" s="4"/>
      <c r="AW68" s="4"/>
      <c r="AX68" s="4"/>
      <c r="AY68" s="3"/>
      <c r="AZ68" s="3"/>
      <c r="BA68" s="3"/>
      <c r="BB68" s="3"/>
      <c r="BC68" s="3"/>
      <c r="BD68" s="3"/>
      <c r="BE68" s="3"/>
      <c r="BF68" s="3"/>
      <c r="BG68" s="3"/>
      <c r="BH68" s="3"/>
      <c r="BI68" s="3"/>
    </row>
    <row r="69" spans="6:61" x14ac:dyDescent="0.15">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4"/>
      <c r="AO69" s="4"/>
      <c r="AP69" s="4"/>
      <c r="AQ69" s="4"/>
      <c r="AR69" s="4"/>
      <c r="AS69" s="4"/>
      <c r="AT69" s="4"/>
      <c r="AU69" s="4"/>
      <c r="AV69" s="4"/>
      <c r="AW69" s="4"/>
      <c r="AX69" s="4"/>
      <c r="AY69" s="3"/>
      <c r="AZ69" s="3"/>
      <c r="BA69" s="3"/>
      <c r="BB69" s="3"/>
      <c r="BC69" s="3"/>
      <c r="BD69" s="3"/>
      <c r="BE69" s="3"/>
      <c r="BF69" s="3"/>
      <c r="BG69" s="3"/>
      <c r="BH69" s="3"/>
      <c r="BI69" s="3"/>
    </row>
    <row r="70" spans="6:61" x14ac:dyDescent="0.15">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4"/>
      <c r="AO70" s="4"/>
      <c r="AP70" s="4"/>
      <c r="AQ70" s="4"/>
      <c r="AR70" s="4"/>
      <c r="AS70" s="4"/>
      <c r="AT70" s="4"/>
      <c r="AU70" s="4"/>
      <c r="AV70" s="4"/>
      <c r="AW70" s="4"/>
      <c r="AX70" s="4"/>
      <c r="AY70" s="3"/>
      <c r="AZ70" s="3"/>
      <c r="BA70" s="3"/>
      <c r="BB70" s="3"/>
      <c r="BC70" s="3"/>
      <c r="BD70" s="3"/>
      <c r="BE70" s="3"/>
      <c r="BF70" s="3"/>
      <c r="BG70" s="3"/>
      <c r="BH70" s="3"/>
      <c r="BI70" s="3"/>
    </row>
    <row r="71" spans="6:61" x14ac:dyDescent="0.15">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4"/>
      <c r="AO71" s="4"/>
      <c r="AP71" s="4"/>
      <c r="AQ71" s="4"/>
      <c r="AR71" s="4"/>
      <c r="AS71" s="4"/>
      <c r="AT71" s="4"/>
      <c r="AU71" s="4"/>
      <c r="AV71" s="4"/>
      <c r="AW71" s="4"/>
      <c r="AX71" s="4"/>
      <c r="AY71" s="3"/>
      <c r="AZ71" s="3"/>
      <c r="BA71" s="3"/>
      <c r="BB71" s="3"/>
      <c r="BC71" s="3"/>
      <c r="BD71" s="3"/>
      <c r="BE71" s="3"/>
      <c r="BF71" s="3"/>
      <c r="BG71" s="3"/>
      <c r="BH71" s="3"/>
      <c r="BI71" s="3"/>
    </row>
    <row r="72" spans="6:61" x14ac:dyDescent="0.15">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4"/>
      <c r="AO72" s="4"/>
      <c r="AP72" s="4"/>
      <c r="AQ72" s="4"/>
      <c r="AR72" s="4"/>
      <c r="AS72" s="4"/>
      <c r="AT72" s="4"/>
      <c r="AU72" s="4"/>
      <c r="AV72" s="4"/>
      <c r="AW72" s="4"/>
      <c r="AX72" s="4"/>
      <c r="AY72" s="3"/>
      <c r="AZ72" s="3"/>
      <c r="BA72" s="3"/>
      <c r="BB72" s="3"/>
      <c r="BC72" s="3"/>
      <c r="BD72" s="3"/>
      <c r="BE72" s="3"/>
      <c r="BF72" s="3"/>
      <c r="BG72" s="3"/>
      <c r="BH72" s="3"/>
      <c r="BI72" s="3"/>
    </row>
    <row r="73" spans="6:61" x14ac:dyDescent="0.15">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4"/>
      <c r="AO73" s="4"/>
      <c r="AP73" s="4"/>
      <c r="AQ73" s="4"/>
      <c r="AR73" s="4"/>
      <c r="AS73" s="4"/>
      <c r="AT73" s="4"/>
      <c r="AU73" s="4"/>
      <c r="AV73" s="4"/>
      <c r="AW73" s="4"/>
      <c r="AX73" s="4"/>
      <c r="AY73" s="3"/>
      <c r="AZ73" s="3"/>
      <c r="BA73" s="3"/>
      <c r="BB73" s="3"/>
      <c r="BC73" s="3"/>
      <c r="BD73" s="3"/>
      <c r="BE73" s="3"/>
      <c r="BF73" s="3"/>
      <c r="BG73" s="3"/>
      <c r="BH73" s="3"/>
      <c r="BI73" s="3"/>
    </row>
    <row r="74" spans="6:61" x14ac:dyDescent="0.15">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4"/>
      <c r="AO74" s="4"/>
      <c r="AP74" s="4"/>
      <c r="AQ74" s="4"/>
      <c r="AR74" s="4"/>
      <c r="AS74" s="4"/>
      <c r="AT74" s="4"/>
      <c r="AU74" s="4"/>
      <c r="AV74" s="4"/>
      <c r="AW74" s="4"/>
      <c r="AX74" s="4"/>
      <c r="AY74" s="3"/>
      <c r="AZ74" s="3"/>
      <c r="BA74" s="3"/>
      <c r="BB74" s="3"/>
      <c r="BC74" s="3"/>
      <c r="BD74" s="3"/>
      <c r="BE74" s="3"/>
      <c r="BF74" s="3"/>
      <c r="BG74" s="3"/>
      <c r="BH74" s="3"/>
      <c r="BI74" s="3"/>
    </row>
    <row r="75" spans="6:61" x14ac:dyDescent="0.15">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4"/>
      <c r="AO75" s="4"/>
      <c r="AP75" s="4"/>
      <c r="AQ75" s="4"/>
      <c r="AR75" s="4"/>
      <c r="AS75" s="4"/>
      <c r="AT75" s="4"/>
      <c r="AU75" s="4"/>
      <c r="AV75" s="4"/>
      <c r="AW75" s="4"/>
      <c r="AX75" s="4"/>
      <c r="AY75" s="3"/>
      <c r="AZ75" s="3"/>
      <c r="BA75" s="3"/>
      <c r="BB75" s="3"/>
      <c r="BC75" s="3"/>
      <c r="BD75" s="3"/>
      <c r="BE75" s="3"/>
      <c r="BF75" s="3"/>
      <c r="BG75" s="3"/>
      <c r="BH75" s="3"/>
      <c r="BI75" s="3"/>
    </row>
    <row r="76" spans="6:61" x14ac:dyDescent="0.15">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4"/>
      <c r="AO76" s="4"/>
      <c r="AP76" s="4"/>
      <c r="AQ76" s="4"/>
      <c r="AR76" s="4"/>
      <c r="AS76" s="4"/>
      <c r="AT76" s="4"/>
      <c r="AU76" s="4"/>
      <c r="AV76" s="4"/>
      <c r="AW76" s="4"/>
      <c r="AX76" s="4"/>
      <c r="AY76" s="3"/>
      <c r="AZ76" s="3"/>
      <c r="BA76" s="3"/>
      <c r="BB76" s="3"/>
      <c r="BC76" s="3"/>
      <c r="BD76" s="3"/>
      <c r="BE76" s="3"/>
      <c r="BF76" s="3"/>
      <c r="BG76" s="3"/>
      <c r="BH76" s="3"/>
      <c r="BI76" s="3"/>
    </row>
    <row r="77" spans="6:61" x14ac:dyDescent="0.15">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4"/>
      <c r="AO77" s="4"/>
      <c r="AP77" s="4"/>
      <c r="AQ77" s="4"/>
      <c r="AR77" s="4"/>
      <c r="AS77" s="4"/>
      <c r="AT77" s="4"/>
      <c r="AU77" s="4"/>
      <c r="AV77" s="4"/>
      <c r="AW77" s="4"/>
      <c r="AX77" s="4"/>
      <c r="AY77" s="3"/>
      <c r="AZ77" s="3"/>
      <c r="BA77" s="3"/>
      <c r="BB77" s="3"/>
      <c r="BC77" s="3"/>
      <c r="BD77" s="3"/>
      <c r="BE77" s="3"/>
      <c r="BF77" s="3"/>
      <c r="BG77" s="3"/>
      <c r="BH77" s="3"/>
      <c r="BI77" s="3"/>
    </row>
    <row r="78" spans="6:61" x14ac:dyDescent="0.15">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4"/>
      <c r="AO78" s="4"/>
      <c r="AP78" s="4"/>
      <c r="AQ78" s="4"/>
      <c r="AR78" s="4"/>
      <c r="AS78" s="4"/>
      <c r="AT78" s="4"/>
      <c r="AU78" s="4"/>
      <c r="AV78" s="4"/>
      <c r="AW78" s="4"/>
      <c r="AX78" s="4"/>
      <c r="AY78" s="3"/>
      <c r="AZ78" s="3"/>
      <c r="BA78" s="3"/>
      <c r="BB78" s="3"/>
      <c r="BC78" s="3"/>
      <c r="BD78" s="3"/>
      <c r="BE78" s="3"/>
      <c r="BF78" s="3"/>
      <c r="BG78" s="3"/>
      <c r="BH78" s="3"/>
      <c r="BI78" s="3"/>
    </row>
    <row r="79" spans="6:61" x14ac:dyDescent="0.15">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4"/>
      <c r="AO79" s="4"/>
      <c r="AP79" s="4"/>
      <c r="AQ79" s="4"/>
      <c r="AR79" s="4"/>
      <c r="AS79" s="4"/>
      <c r="AT79" s="4"/>
      <c r="AU79" s="4"/>
      <c r="AV79" s="4"/>
      <c r="AW79" s="4"/>
      <c r="AX79" s="4"/>
      <c r="AY79" s="3"/>
      <c r="AZ79" s="3"/>
      <c r="BA79" s="3"/>
      <c r="BB79" s="3"/>
      <c r="BC79" s="3"/>
      <c r="BD79" s="3"/>
      <c r="BE79" s="3"/>
      <c r="BF79" s="3"/>
      <c r="BG79" s="3"/>
      <c r="BH79" s="3"/>
      <c r="BI79" s="3"/>
    </row>
    <row r="80" spans="6:61" x14ac:dyDescent="0.15">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4"/>
      <c r="AO80" s="4"/>
      <c r="AP80" s="4"/>
      <c r="AQ80" s="4"/>
      <c r="AR80" s="4"/>
      <c r="AS80" s="4"/>
      <c r="AT80" s="4"/>
      <c r="AU80" s="4"/>
      <c r="AV80" s="4"/>
      <c r="AW80" s="4"/>
      <c r="AX80" s="4"/>
      <c r="AY80" s="3"/>
      <c r="AZ80" s="3"/>
      <c r="BA80" s="3"/>
      <c r="BB80" s="3"/>
      <c r="BC80" s="3"/>
      <c r="BD80" s="3"/>
      <c r="BE80" s="3"/>
      <c r="BF80" s="3"/>
      <c r="BG80" s="3"/>
      <c r="BH80" s="3"/>
      <c r="BI80" s="3"/>
    </row>
    <row r="81" spans="6:61" x14ac:dyDescent="0.15">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4"/>
      <c r="AO81" s="4"/>
      <c r="AP81" s="4"/>
      <c r="AQ81" s="4"/>
      <c r="AR81" s="4"/>
      <c r="AS81" s="4"/>
      <c r="AT81" s="4"/>
      <c r="AU81" s="4"/>
      <c r="AV81" s="4"/>
      <c r="AW81" s="4"/>
      <c r="AX81" s="4"/>
      <c r="AY81" s="3"/>
      <c r="AZ81" s="3"/>
      <c r="BA81" s="3"/>
      <c r="BB81" s="3"/>
      <c r="BC81" s="3"/>
      <c r="BD81" s="3"/>
      <c r="BE81" s="3"/>
      <c r="BF81" s="3"/>
      <c r="BG81" s="3"/>
      <c r="BH81" s="3"/>
      <c r="BI81" s="3"/>
    </row>
    <row r="82" spans="6:61" x14ac:dyDescent="0.15">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4"/>
      <c r="AO82" s="4"/>
      <c r="AP82" s="4"/>
      <c r="AQ82" s="4"/>
      <c r="AR82" s="4"/>
      <c r="AS82" s="4"/>
      <c r="AT82" s="4"/>
      <c r="AU82" s="4"/>
      <c r="AV82" s="4"/>
      <c r="AW82" s="4"/>
      <c r="AX82" s="4"/>
      <c r="AY82" s="3"/>
      <c r="AZ82" s="3"/>
      <c r="BA82" s="3"/>
      <c r="BB82" s="3"/>
      <c r="BC82" s="3"/>
      <c r="BD82" s="3"/>
      <c r="BE82" s="3"/>
      <c r="BF82" s="3"/>
      <c r="BG82" s="3"/>
      <c r="BH82" s="3"/>
      <c r="BI82" s="3"/>
    </row>
    <row r="83" spans="6:61" x14ac:dyDescent="0.15">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4"/>
      <c r="AO83" s="4"/>
      <c r="AP83" s="4"/>
      <c r="AQ83" s="4"/>
      <c r="AR83" s="4"/>
      <c r="AS83" s="4"/>
      <c r="AT83" s="4"/>
      <c r="AU83" s="4"/>
      <c r="AV83" s="4"/>
      <c r="AW83" s="4"/>
      <c r="AX83" s="4"/>
      <c r="AY83" s="3"/>
      <c r="AZ83" s="3"/>
      <c r="BA83" s="3"/>
      <c r="BB83" s="3"/>
      <c r="BC83" s="3"/>
      <c r="BD83" s="3"/>
      <c r="BE83" s="3"/>
      <c r="BF83" s="3"/>
      <c r="BG83" s="3"/>
      <c r="BH83" s="3"/>
      <c r="BI83" s="3"/>
    </row>
    <row r="84" spans="6:61" x14ac:dyDescent="0.15">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4"/>
      <c r="AO84" s="4"/>
      <c r="AP84" s="4"/>
      <c r="AQ84" s="4"/>
      <c r="AR84" s="4"/>
      <c r="AS84" s="4"/>
      <c r="AT84" s="4"/>
      <c r="AU84" s="4"/>
      <c r="AV84" s="4"/>
      <c r="AW84" s="4"/>
      <c r="AX84" s="4"/>
      <c r="AY84" s="3"/>
      <c r="AZ84" s="3"/>
      <c r="BA84" s="3"/>
      <c r="BB84" s="3"/>
      <c r="BC84" s="3"/>
      <c r="BD84" s="3"/>
      <c r="BE84" s="3"/>
      <c r="BF84" s="3"/>
      <c r="BG84" s="3"/>
      <c r="BH84" s="3"/>
      <c r="BI84" s="3"/>
    </row>
    <row r="85" spans="6:61" x14ac:dyDescent="0.15">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4"/>
      <c r="AO85" s="4"/>
      <c r="AP85" s="4"/>
      <c r="AQ85" s="4"/>
      <c r="AR85" s="4"/>
      <c r="AS85" s="4"/>
      <c r="AT85" s="4"/>
      <c r="AU85" s="4"/>
      <c r="AV85" s="4"/>
      <c r="AW85" s="4"/>
      <c r="AX85" s="4"/>
      <c r="AY85" s="3"/>
      <c r="AZ85" s="3"/>
      <c r="BA85" s="3"/>
      <c r="BB85" s="3"/>
      <c r="BC85" s="3"/>
      <c r="BD85" s="3"/>
      <c r="BE85" s="3"/>
      <c r="BF85" s="3"/>
      <c r="BG85" s="3"/>
      <c r="BH85" s="3"/>
      <c r="BI85" s="3"/>
    </row>
    <row r="86" spans="6:61" x14ac:dyDescent="0.15">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4"/>
      <c r="AO86" s="4"/>
      <c r="AP86" s="4"/>
      <c r="AQ86" s="4"/>
      <c r="AR86" s="4"/>
      <c r="AS86" s="4"/>
      <c r="AT86" s="4"/>
      <c r="AU86" s="4"/>
      <c r="AV86" s="4"/>
      <c r="AW86" s="4"/>
      <c r="AX86" s="4"/>
      <c r="AY86" s="3"/>
      <c r="AZ86" s="3"/>
      <c r="BA86" s="3"/>
      <c r="BB86" s="3"/>
      <c r="BC86" s="3"/>
      <c r="BD86" s="3"/>
      <c r="BE86" s="3"/>
      <c r="BF86" s="3"/>
      <c r="BG86" s="3"/>
      <c r="BH86" s="3"/>
      <c r="BI86" s="3"/>
    </row>
    <row r="87" spans="6:61" x14ac:dyDescent="0.15">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4"/>
      <c r="AO87" s="4"/>
      <c r="AP87" s="4"/>
      <c r="AQ87" s="4"/>
      <c r="AR87" s="4"/>
      <c r="AS87" s="4"/>
      <c r="AT87" s="4"/>
      <c r="AU87" s="4"/>
      <c r="AV87" s="4"/>
      <c r="AW87" s="4"/>
      <c r="AX87" s="4"/>
      <c r="AY87" s="3"/>
      <c r="AZ87" s="3"/>
      <c r="BA87" s="3"/>
      <c r="BB87" s="3"/>
      <c r="BC87" s="3"/>
      <c r="BD87" s="3"/>
      <c r="BE87" s="3"/>
      <c r="BF87" s="3"/>
      <c r="BG87" s="3"/>
      <c r="BH87" s="3"/>
      <c r="BI87" s="3"/>
    </row>
  </sheetData>
  <sheetProtection password="CEE3" sheet="1" objects="1" scenarios="1"/>
  <mergeCells count="7">
    <mergeCell ref="G1:K1"/>
    <mergeCell ref="H3:J3"/>
    <mergeCell ref="AN20:AY20"/>
    <mergeCell ref="AN27:AY27"/>
    <mergeCell ref="S27:S31"/>
    <mergeCell ref="R27:R31"/>
    <mergeCell ref="T27:V31"/>
  </mergeCells>
  <phoneticPr fontId="4"/>
  <conditionalFormatting sqref="AE46:AF46 AE21:AF21 AJ21:AK21 AJ46:AK46 I21:J21 T21:AA21 T46:AA46 N21:O21 N22">
    <cfRule type="expression" dxfId="0" priority="7" stopIfTrue="1">
      <formula>IF($F$51=1,TRUE,FALSE)</formula>
    </cfRule>
  </conditionalFormatting>
  <dataValidations count="1">
    <dataValidation type="list" allowBlank="1" showInputMessage="1" showErrorMessage="1" sqref="M3">
      <formula1>$AM$47:$AM$52</formula1>
    </dataValidation>
  </dataValidations>
  <pageMargins left="0.51181102362204722" right="0" top="0.47244094488188981" bottom="0.31496062992125984" header="0.31496062992125984" footer="0.31496062992125984"/>
  <pageSetup paperSize="9" scale="95" orientation="portrait" r:id="rId1"/>
  <headerFooter>
    <oddHeader xml:space="preserve">&amp;RＴＭ２１５９６&amp;G　　(3/8)　　　　
</oddHeader>
    <oddFooter>&amp;R&amp;"ＭＳ Ｐゴシック,太字"&amp;12&amp;G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F1:BQ138"/>
  <sheetViews>
    <sheetView showZeros="0" view="pageBreakPreview" zoomScaleNormal="50" zoomScaleSheetLayoutView="100" zoomScalePageLayoutView="40" workbookViewId="0">
      <selection activeCell="B4" sqref="B4:J4"/>
    </sheetView>
  </sheetViews>
  <sheetFormatPr defaultRowHeight="14.25" x14ac:dyDescent="0.15"/>
  <cols>
    <col min="1" max="5" width="9" style="50"/>
    <col min="6" max="6" width="3.625" style="50" customWidth="1"/>
    <col min="7" max="7" width="1.375" style="50" customWidth="1"/>
    <col min="8" max="8" width="8.625" style="50" customWidth="1"/>
    <col min="9" max="9" width="6.875" style="50" customWidth="1"/>
    <col min="10" max="10" width="1" style="50" customWidth="1"/>
    <col min="11" max="11" width="9.75" style="50" customWidth="1"/>
    <col min="12" max="12" width="17.5" style="50" customWidth="1"/>
    <col min="13" max="13" width="7.75" style="50" customWidth="1"/>
    <col min="14" max="14" width="10.5" style="50" customWidth="1"/>
    <col min="15" max="15" width="8.625" style="50" customWidth="1"/>
    <col min="16" max="16" width="6.625" style="50" customWidth="1"/>
    <col min="17" max="17" width="8.625" style="50" customWidth="1"/>
    <col min="18" max="18" width="10.625" style="50" customWidth="1"/>
    <col min="19" max="19" width="8.625" style="50" customWidth="1"/>
    <col min="20" max="20" width="10.625" style="50" customWidth="1"/>
    <col min="21" max="21" width="14.625" style="50" customWidth="1"/>
    <col min="22" max="22" width="6.625" style="50" customWidth="1"/>
    <col min="23" max="23" width="8.625" style="50" customWidth="1"/>
    <col min="24" max="24" width="10.625" style="50" customWidth="1"/>
    <col min="25" max="25" width="8.625" style="50" customWidth="1"/>
    <col min="26" max="26" width="10.625" style="50" customWidth="1"/>
    <col min="27" max="27" width="1.5" style="50" customWidth="1"/>
    <col min="28" max="28" width="13.625" style="50" customWidth="1"/>
    <col min="29" max="36" width="9" style="50" customWidth="1"/>
    <col min="37" max="37" width="15" style="40" customWidth="1"/>
    <col min="38" max="39" width="9.375" style="50" customWidth="1"/>
    <col min="40" max="40" width="9.625" style="50" customWidth="1"/>
    <col min="41" max="41" width="9.375" style="50" customWidth="1"/>
    <col min="42" max="42" width="10.625" style="50" bestFit="1" customWidth="1"/>
    <col min="43" max="43" width="11.25" style="50" customWidth="1"/>
    <col min="44" max="44" width="9.5" style="50" customWidth="1"/>
    <col min="45" max="45" width="15.625" style="50" customWidth="1"/>
    <col min="46" max="49" width="10.625" style="50" bestFit="1" customWidth="1"/>
    <col min="50" max="50" width="10.375" style="50" bestFit="1" customWidth="1"/>
    <col min="51" max="51" width="10" style="50" customWidth="1"/>
    <col min="52" max="53" width="10.375" style="50" bestFit="1" customWidth="1"/>
    <col min="54" max="54" width="10.375" style="3" bestFit="1" customWidth="1"/>
    <col min="55" max="55" width="15.75" style="50" customWidth="1"/>
    <col min="56" max="57" width="10.375" style="50" bestFit="1" customWidth="1"/>
    <col min="58" max="58" width="12" style="50" customWidth="1"/>
    <col min="59" max="59" width="14.75" style="50" customWidth="1"/>
    <col min="60" max="63" width="10.375" style="50" bestFit="1" customWidth="1"/>
    <col min="64" max="64" width="20.25" style="50" customWidth="1"/>
    <col min="65" max="65" width="9.625" style="50" bestFit="1" customWidth="1"/>
    <col min="66" max="66" width="23.375" style="50" customWidth="1"/>
    <col min="67" max="68" width="9.625" style="50" bestFit="1" customWidth="1"/>
    <col min="69" max="69" width="9.5" style="50" bestFit="1" customWidth="1"/>
    <col min="70" max="16384" width="9" style="50"/>
  </cols>
  <sheetData>
    <row r="1" spans="6:54" ht="25.5" customHeight="1" x14ac:dyDescent="0.15">
      <c r="F1" s="412" t="s">
        <v>217</v>
      </c>
      <c r="G1" s="413"/>
      <c r="H1" s="413"/>
      <c r="I1" s="413"/>
      <c r="J1" s="413"/>
      <c r="K1" s="413"/>
      <c r="L1" s="413"/>
      <c r="M1" s="414"/>
      <c r="N1" s="1"/>
      <c r="BB1" s="50"/>
    </row>
    <row r="2" spans="6:54" ht="12.75" customHeight="1" x14ac:dyDescent="0.15">
      <c r="BB2" s="50"/>
    </row>
    <row r="3" spans="6:54" ht="20.100000000000001" customHeight="1" x14ac:dyDescent="0.15">
      <c r="F3" s="409" t="s">
        <v>0</v>
      </c>
      <c r="G3" s="388"/>
      <c r="H3" s="389"/>
      <c r="I3" s="417">
        <f>◆入力◆④「1個放水」計算!I3</f>
        <v>0</v>
      </c>
      <c r="J3" s="418"/>
      <c r="K3" s="418"/>
      <c r="L3" s="419"/>
      <c r="M3" s="40"/>
      <c r="N3" s="361" t="s">
        <v>1</v>
      </c>
      <c r="O3" s="420" t="s">
        <v>241</v>
      </c>
      <c r="P3" s="421"/>
      <c r="Q3" s="422"/>
      <c r="R3" s="363"/>
      <c r="S3" s="361" t="s">
        <v>2</v>
      </c>
      <c r="T3" s="410">
        <f ca="1">TODAY()</f>
        <v>42326</v>
      </c>
      <c r="U3" s="411"/>
      <c r="V3" s="40"/>
      <c r="W3" s="361" t="s">
        <v>44</v>
      </c>
      <c r="X3" s="417" t="str">
        <f>◆入力◆④「1個放水」計算!X3</f>
        <v/>
      </c>
      <c r="Y3" s="418"/>
      <c r="Z3" s="419"/>
      <c r="AA3" s="54"/>
      <c r="AB3" s="54"/>
      <c r="AC3" s="54"/>
      <c r="AD3" s="40"/>
      <c r="AE3" s="40"/>
      <c r="AF3" s="40"/>
      <c r="AG3" s="40"/>
      <c r="AH3" s="40"/>
      <c r="AI3" s="40"/>
      <c r="AJ3" s="40"/>
      <c r="AL3" s="40"/>
      <c r="AM3" s="40"/>
      <c r="BB3" s="50"/>
    </row>
    <row r="4" spans="6:54" ht="12" customHeight="1" x14ac:dyDescent="0.15">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L4" s="40"/>
      <c r="AM4" s="40"/>
      <c r="BB4" s="50"/>
    </row>
    <row r="5" spans="6:54" ht="20.100000000000001" customHeight="1" x14ac:dyDescent="0.15">
      <c r="F5" s="409" t="s">
        <v>82</v>
      </c>
      <c r="G5" s="388"/>
      <c r="H5" s="389"/>
      <c r="I5" s="163">
        <f>VLOOKUP(X3,AM10:AN14,2,0)</f>
        <v>0</v>
      </c>
      <c r="J5" s="60"/>
      <c r="K5" s="61" t="s">
        <v>81</v>
      </c>
      <c r="L5" s="131" t="str">
        <f>◆入力◆④「1個放水」計算!L5</f>
        <v>水道用硬質ポリ塩化ビニル管</v>
      </c>
      <c r="M5" s="40"/>
      <c r="N5" s="40"/>
      <c r="O5" s="40"/>
      <c r="P5" s="40"/>
      <c r="Q5" s="40"/>
      <c r="R5" s="40"/>
      <c r="S5" s="40"/>
      <c r="T5" s="40"/>
      <c r="U5" s="40"/>
      <c r="V5" s="40"/>
      <c r="W5" s="40"/>
      <c r="X5" s="40"/>
      <c r="Y5" s="40"/>
      <c r="Z5" s="40"/>
      <c r="AA5" s="40"/>
      <c r="AB5" s="40"/>
      <c r="AC5" s="40"/>
      <c r="AD5" s="62"/>
      <c r="AE5" s="40"/>
      <c r="AF5" s="40"/>
      <c r="AG5" s="40"/>
      <c r="AH5" s="40"/>
      <c r="AI5" s="40"/>
      <c r="AJ5" s="40"/>
      <c r="BB5" s="50"/>
    </row>
    <row r="6" spans="6:54" ht="14.25" customHeight="1" x14ac:dyDescent="0.15">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BB6" s="50"/>
    </row>
    <row r="7" spans="6:54" ht="15" thickBot="1" x14ac:dyDescent="0.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BB7" s="50"/>
    </row>
    <row r="8" spans="6:54" ht="20.100000000000001" customHeight="1" thickBot="1" x14ac:dyDescent="0.2">
      <c r="F8" s="234"/>
      <c r="G8" s="40"/>
      <c r="H8" s="64" t="s">
        <v>45</v>
      </c>
      <c r="I8" s="53"/>
      <c r="J8" s="40"/>
      <c r="K8" s="361" t="s">
        <v>7</v>
      </c>
      <c r="L8" s="65" t="s">
        <v>8</v>
      </c>
      <c r="M8" s="66" t="s">
        <v>9</v>
      </c>
      <c r="N8" s="66"/>
      <c r="O8" s="64" t="s">
        <v>10</v>
      </c>
      <c r="P8" s="66"/>
      <c r="Q8" s="66"/>
      <c r="R8" s="66"/>
      <c r="S8" s="66"/>
      <c r="T8" s="66"/>
      <c r="U8" s="64" t="s">
        <v>11</v>
      </c>
      <c r="V8" s="66"/>
      <c r="W8" s="66"/>
      <c r="X8" s="66"/>
      <c r="Y8" s="66"/>
      <c r="Z8" s="53"/>
      <c r="AA8" s="40"/>
      <c r="AB8" s="404" t="s">
        <v>55</v>
      </c>
      <c r="AC8" s="67"/>
      <c r="AD8" s="40"/>
      <c r="AE8" s="40"/>
      <c r="AF8" s="40"/>
      <c r="AG8" s="40"/>
      <c r="AH8" s="40"/>
      <c r="AI8" s="40"/>
      <c r="AJ8" s="40"/>
      <c r="BB8" s="50"/>
    </row>
    <row r="9" spans="6:54" ht="20.100000000000001" customHeight="1" x14ac:dyDescent="0.15">
      <c r="F9" s="235"/>
      <c r="G9" s="40"/>
      <c r="H9" s="68" t="s">
        <v>46</v>
      </c>
      <c r="I9" s="361" t="s">
        <v>47</v>
      </c>
      <c r="J9" s="40"/>
      <c r="K9" s="361" t="s">
        <v>36</v>
      </c>
      <c r="L9" s="65" t="s">
        <v>12</v>
      </c>
      <c r="M9" s="360" t="s">
        <v>48</v>
      </c>
      <c r="N9" s="69" t="s">
        <v>13</v>
      </c>
      <c r="O9" s="360" t="s">
        <v>14</v>
      </c>
      <c r="P9" s="361" t="s">
        <v>15</v>
      </c>
      <c r="Q9" s="360" t="s">
        <v>16</v>
      </c>
      <c r="R9" s="361" t="s">
        <v>17</v>
      </c>
      <c r="S9" s="360" t="s">
        <v>18</v>
      </c>
      <c r="T9" s="69" t="s">
        <v>13</v>
      </c>
      <c r="U9" s="360" t="s">
        <v>19</v>
      </c>
      <c r="V9" s="361" t="s">
        <v>15</v>
      </c>
      <c r="W9" s="70" t="s">
        <v>16</v>
      </c>
      <c r="X9" s="361" t="s">
        <v>17</v>
      </c>
      <c r="Y9" s="360" t="s">
        <v>18</v>
      </c>
      <c r="Z9" s="69" t="s">
        <v>13</v>
      </c>
      <c r="AA9" s="363"/>
      <c r="AB9" s="405"/>
      <c r="AC9" s="71" t="s">
        <v>73</v>
      </c>
      <c r="AD9" s="72" t="s">
        <v>40</v>
      </c>
      <c r="AE9" s="72" t="s">
        <v>56</v>
      </c>
      <c r="AF9" s="72" t="s">
        <v>39</v>
      </c>
      <c r="AG9" s="72" t="s">
        <v>61</v>
      </c>
      <c r="AH9" s="72" t="s">
        <v>89</v>
      </c>
      <c r="AI9" s="72" t="s">
        <v>90</v>
      </c>
      <c r="AJ9" s="72"/>
      <c r="AM9" s="49" t="s">
        <v>125</v>
      </c>
      <c r="AN9" s="49" t="s">
        <v>126</v>
      </c>
      <c r="AO9" s="49" t="s">
        <v>127</v>
      </c>
      <c r="BB9" s="50"/>
    </row>
    <row r="10" spans="6:54" x14ac:dyDescent="0.15">
      <c r="F10" s="235" t="s">
        <v>21</v>
      </c>
      <c r="G10" s="40"/>
      <c r="H10" s="132"/>
      <c r="I10" s="133">
        <f ca="1">OFFSET(◆入力◆④「1個放水」計算!I10,$F$55-$F$56,0,1,1)</f>
        <v>0</v>
      </c>
      <c r="J10" s="121"/>
      <c r="K10" s="134"/>
      <c r="L10" s="74"/>
      <c r="M10" s="135"/>
      <c r="N10" s="76"/>
      <c r="O10" s="77">
        <f ca="1">IF(I11=0,0,"E９０°")</f>
        <v>0</v>
      </c>
      <c r="P10" s="136"/>
      <c r="Q10" s="78">
        <f ca="1">IF(I11=0,0,IF(I10="SGP-VB",LOOKUP(I11,◆入力◆④「1個放水」計算!$AL$4:$AX$4,◆入力◆④「1個放水」計算!$AL$6:$AX$6),IF(I10="SGP-PB",LOOKUP(I11,◆入力◆④「1個放水」計算!$AL$15:$AX$15,◆入力◆④「1個放水」計算!$AL$17:$AX$17),IF(I10="HIVP",LOOKUP(I11,◆入力◆④「1個放水」計算!$AL$26:$AX$26,◆入力◆④「1個放水」計算!$AL$28:$AX$28),IF(OR(I10="SGP",I10="フレキ"),LOOKUP(I11,◆入力◆④「1個放水」計算!$AL$37:$AX$37,◆入力◆④「1個放水」計算!$AL$39:$AX$39),IF(I10="SUS",LOOKUP(I11,◆入力◆④「1個放水」計算!$AL$48:$AX$48,◆入力◆④「1個放水」計算!$AL$50:$AX$50),IF(OR(I10="PE",I10="PP"),LOOKUP(I11,◆入力◆④「1個放水」計算!$AL$59:$AX$59,◆入力◆④「1個放水」計算!$AL$61:$AX$61))))))))</f>
        <v>0</v>
      </c>
      <c r="R10" s="79">
        <f t="shared" ref="R10:R42" ca="1" si="0">P10*Q10</f>
        <v>0</v>
      </c>
      <c r="S10" s="80"/>
      <c r="T10" s="81">
        <v>0</v>
      </c>
      <c r="U10" s="137">
        <f ca="1">IF($F$55=0,0,OFFSET(◆入力◆④「1個放水」計算!U10,$F$55-1,0,1,1))</f>
        <v>0</v>
      </c>
      <c r="V10" s="138">
        <f ca="1">IF($F$55=0,0,OFFSET(◆入力◆④「1個放水」計算!V10,$F$55-1,0,1,1))</f>
        <v>0</v>
      </c>
      <c r="W10" s="79">
        <f ca="1">IF($U10="Yスト",AC10,IF($I10="sgp-vb",AD10,IF($I10="sgp-pb",AE10,IF($I10="hivp",AF10,IF(OR($I10="sgp",$I10="フレキ"),AG10,IF($I10="sus",AH10,IF(OR($I10="PE",$I10="PP"),AI10,0)))))))</f>
        <v>0</v>
      </c>
      <c r="X10" s="82">
        <f t="shared" ref="X10:X42" ca="1" si="1">V10*W10</f>
        <v>0</v>
      </c>
      <c r="Y10" s="83"/>
      <c r="Z10" s="84">
        <f ca="1">IF(AND($U10="電動弁",$V10=1),LOOKUP($K11,$AL$76:$BQ$76,$AL$77:$BQ$77),IF(AND($U10="逆流防止装置E",$V10=1),LOOKUP($I11,$AN$105:$AQ$105,$AN106:$AQ106),IF(AND($U10="逆流防止装置K",$V10=1),LOOKUP($I11,$AN$105:$AQ$105,$AN107:$AQ107),IF(AND($U10="逆流防止装置T",$V10=1),LOOKUP($I11,$AN$105:$AQ$105,$AN108:$AQ108),0))))</f>
        <v>0</v>
      </c>
      <c r="AA10" s="40"/>
      <c r="AB10" s="85"/>
      <c r="AC10" s="86">
        <f ca="1">IF(U10="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0" s="86">
        <f ca="1">IF($U10="仕切弁",LOOKUP($I11,◆入力◆④「1個放水」計算!$AL$4:$AX$4,◆入力◆④「1個放水」計算!$AL$9:$AX$9),IF($U10="逆止弁",LOOKUP($I11,◆入力◆④「1個放水」計算!$AL$4:$AX$4,◆入力◆④「1個放水」計算!$AL$10:$AX$10),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E10" s="86">
        <f ca="1">IF($U10="仕切弁",LOOKUP($I11,◆入力◆④「1個放水」計算!$AL$15:$AX$15,◆入力◆④「1個放水」計算!$AL$20:$AX$20),IF($U10="逆止弁",LOOKUP($I11,◆入力◆④「1個放水」計算!$AL$15:$AX$15,◆入力◆④「1個放水」計算!$AL$21:$AX$21),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F10" s="86">
        <f ca="1">IF($U10="仕切弁",LOOKUP($I11,◆入力◆④「1個放水」計算!$AL$26:$AX$26,◆入力◆④「1個放水」計算!$AL$31:$AX$31),IF($U10="逆止弁",LOOKUP($I11,◆入力◆④「1個放水」計算!$AL$26:$AX$26,◆入力◆④「1個放水」計算!$AL$32:$AX$32),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G10" s="86">
        <f ca="1">IF($U10="仕切弁",LOOKUP($I11,◆入力◆④「1個放水」計算!$AL$37:$AX$37,◆入力◆④「1個放水」計算!$AL$42:$AX$42),IF($U10="逆止弁",LOOKUP($I11,◆入力◆④「1個放水」計算!$AL$37:$AX$37,◆入力◆④「1個放水」計算!$AL$43:$AX$43),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H10" s="86">
        <f ca="1">IF($U10="仕切弁",LOOKUP($I11,◆入力◆④「1個放水」計算!$AL$48:$AX$48,◆入力◆④「1個放水」計算!$AL$53:$AX$53),IF($U10="逆止弁",LOOKUP($I11,◆入力◆④「1個放水」計算!$AL$48:$AX$48,◆入力◆④「1個放水」計算!$AL$54:$AX$54),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I10" s="86">
        <f ca="1">IF($U10="仕切弁",LOOKUP($I11,◆入力◆④「1個放水」計算!$AL$59:$AX$59,◆入力◆④「1個放水」計算!$AL$65:$AX$65),IF($U10="逆止弁",LOOKUP($I11,◆入力◆④「1個放水」計算!$AL$59:$AX$59,◆入力◆④「1個放水」計算!$AL$66:$AX$66),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J10" s="115"/>
      <c r="AM10" s="20" t="str">
        <f>◆入力◆①配管容量!AM36</f>
        <v/>
      </c>
      <c r="AN10" s="20">
        <f>◆入力◆①配管容量!AN36</f>
        <v>0</v>
      </c>
      <c r="AO10" s="20">
        <f>◆入力◆①配管容量!AO36</f>
        <v>0</v>
      </c>
      <c r="BB10" s="50"/>
    </row>
    <row r="11" spans="6:54" ht="14.25" customHeight="1" x14ac:dyDescent="0.15">
      <c r="F11" s="235"/>
      <c r="G11" s="40"/>
      <c r="H11" s="139">
        <f ca="1">IF($F$55=0,0,OFFSET(◆入力◆④「1個放水」計算!H11,$F$55-$F$56,0,1,1))</f>
        <v>0</v>
      </c>
      <c r="I11" s="140">
        <f ca="1">IF($F$55=0,0,OFFSET(◆入力◆④「1個放水」計算!I11,$F$55-$F$56,0,1,1))</f>
        <v>0</v>
      </c>
      <c r="J11" s="121"/>
      <c r="K11" s="141">
        <f ca="1">IF(I11=0,0,$I$5)</f>
        <v>0</v>
      </c>
      <c r="L11" s="74">
        <f ca="1">IF(I11=0,0,IF(I11&gt;=65,K11^1.85*0.012/I12^4.87,ROUNDUP((0.0126+(0.01739-(0.1087*I12/100))/SQRT(4*K11/(60000*PI()*(I12/100)^2)))*(1/(I12/100))*((4*K11/(60000*PI()*(I12/100)^2))^2/(2*9.8)),4)))</f>
        <v>0</v>
      </c>
      <c r="M11" s="142"/>
      <c r="N11" s="84">
        <f ca="1">ROUNDUP(L11*M11,2)</f>
        <v>0</v>
      </c>
      <c r="O11" s="87">
        <f ca="1">IF(I11=0,0,"Ｔ直")</f>
        <v>0</v>
      </c>
      <c r="P11" s="138"/>
      <c r="Q11" s="88">
        <f ca="1">IF(I11=0,0,IF(I10="SGP-VB",LOOKUP(I11,◆入力◆④「1個放水」計算!$AL$4:$AX$4,◆入力◆④「1個放水」計算!$AL$7:$AX$7),IF(I10="SGP-PB",LOOKUP(I11,◆入力◆④「1個放水」計算!$AL$15:$AX$15,◆入力◆④「1個放水」計算!$AL$18:$AX$18),IF(I10="HIVP",LOOKUP(I11,◆入力◆④「1個放水」計算!$AL$26:$AX$26,◆入力◆④「1個放水」計算!$AL$29:$AX$29),IF(OR(I10="SGP",I10="フレキ"),LOOKUP(I11,◆入力◆④「1個放水」計算!$AL$37:$AX$37,◆入力◆④「1個放水」計算!$AL$40:$AX$40),IF(I10="SUS",LOOKUP(I11,◆入力◆④「1個放水」計算!$AL$48:$AX$48,◆入力◆④「1個放水」計算!$AL$51:$AX$51),IF(OR(I10="PE",I10="PP"),LOOKUP(I11,◆入力◆④「1個放水」計算!$AL$59:$AX$59,◆入力◆④「1個放水」計算!$AL$63:$AX$63))))))))</f>
        <v>0</v>
      </c>
      <c r="R11" s="82">
        <f t="shared" ca="1" si="0"/>
        <v>0</v>
      </c>
      <c r="S11" s="83">
        <f ca="1">R10+R11+R12</f>
        <v>0</v>
      </c>
      <c r="T11" s="84">
        <f ca="1">ROUNDUP(L11*S11,2)</f>
        <v>0</v>
      </c>
      <c r="U11" s="143"/>
      <c r="V11" s="138"/>
      <c r="W11" s="82">
        <f ca="1">IF($U11="Yスト",AC11,IF($I10="sgp-vb",AD11,IF($I10="sgp-pb",AE11,IF($I10="hivp",AF11,IF(OR($I10="sgp",$I10="フレキ"),AG11,IF($I10="sus",AH11,IF(OR($I10="PE",$I10="PP"),AI11,0)))))))</f>
        <v>0</v>
      </c>
      <c r="X11" s="82">
        <f t="shared" ca="1" si="1"/>
        <v>0</v>
      </c>
      <c r="Y11" s="83">
        <f ca="1">SUM(X10:X12)</f>
        <v>0</v>
      </c>
      <c r="Z11" s="84">
        <f>IF(AND($U11="電動弁",$V11=1),LOOKUP($K11,$AL$76:$BQ$76,$AL$77:$BQ$77),IF(AND($U11="逆流防止装置E",$V11=1),LOOKUP($I11,$AN$105:$AQ$105,$AN106:$AQ106),IF(AND($U11="逆流防止装置K",$V11=1),LOOKUP($I11,$AN$105:$AQ$105,$AN107:$AQ107),IF(AND($U11="逆流防止装置T",$V11=1),LOOKUP($I11,$AN$105:$AQ$105,$AN108:$AQ108),0))))</f>
        <v>0</v>
      </c>
      <c r="AA11" s="40"/>
      <c r="AB11" s="84">
        <f ca="1">T10+N11+T11+Z10+Z11+Z12</f>
        <v>0</v>
      </c>
      <c r="AC11" s="89">
        <f>IF(U11="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1" s="90">
        <f>IF($U11="仕切弁",LOOKUP($I11,◆入力◆④「1個放水」計算!$AL$4:$AX$4,◆入力◆④「1個放水」計算!$AL$9:$AX$9),IF($U11="逆止弁",LOOKUP($I11,◆入力◆④「1個放水」計算!$AL$4:$AX$4,◆入力◆④「1個放水」計算!$AL$10:$AX$10),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E11" s="90">
        <f>IF($U11="仕切弁",LOOKUP($I11,◆入力◆④「1個放水」計算!$AL$15:$AX$15,◆入力◆④「1個放水」計算!$AL$20:$AX$20),IF($U11="逆止弁",LOOKUP($I11,◆入力◆④「1個放水」計算!$AL$15:$AX$15,◆入力◆④「1個放水」計算!$AL$21:$AX$21),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F11" s="90">
        <f>IF($U11="仕切弁",LOOKUP($I11,◆入力◆④「1個放水」計算!$AL$26:$AX$26,◆入力◆④「1個放水」計算!$AL$31:$AX$31),IF($U11="逆止弁",LOOKUP($I11,◆入力◆④「1個放水」計算!$AL$26:$AX$26,◆入力◆④「1個放水」計算!$AL$32:$AX$32),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G11" s="90">
        <f>IF($U11="仕切弁",LOOKUP($I11,◆入力◆④「1個放水」計算!$AL$37:$AX$37,◆入力◆④「1個放水」計算!$AL$42:$AX$42),IF($U11="逆止弁",LOOKUP($I11,◆入力◆④「1個放水」計算!$AL$37:$AX$37,◆入力◆④「1個放水」計算!$AL$43:$AX$43),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H11" s="90">
        <f>IF($U11="仕切弁",LOOKUP($I11,◆入力◆④「1個放水」計算!$AL$48:$AX$48,◆入力◆④「1個放水」計算!$AL$53:$AX$53),IF($U11="逆止弁",LOOKUP($I11,◆入力◆④「1個放水」計算!$AL$48:$AX$48,◆入力◆④「1個放水」計算!$AL$54:$AX$54),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I11" s="90">
        <f>IF($U11="仕切弁",LOOKUP($I11,◆入力◆④「1個放水」計算!$AL$59:$AX$59,◆入力◆④「1個放水」計算!$AL$65:$AX$65),IF($U11="逆止弁",LOOKUP($I11,◆入力◆④「1個放水」計算!$AL$59:$AX$59,◆入力◆④「1個放水」計算!$AL$66:$AX$66),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J11" s="144"/>
      <c r="AM11" s="20"/>
      <c r="AN11" s="20">
        <f>◆入力◆①配管容量!AN37</f>
        <v>0</v>
      </c>
      <c r="AO11" s="20">
        <f>◆入力◆①配管容量!AO37</f>
        <v>0</v>
      </c>
      <c r="BB11" s="50"/>
    </row>
    <row r="12" spans="6:54" ht="14.25" customHeight="1" x14ac:dyDescent="0.15">
      <c r="F12" s="235"/>
      <c r="G12" s="40"/>
      <c r="H12" s="145"/>
      <c r="I12" s="146" t="b">
        <f ca="1">IF(I11="",0,IF(I10="SGP-VB",LOOKUP(I11,◆入力◆④「1個放水」計算!$AL$4:$AX$4,◆入力◆④「1個放水」計算!$AL$5:$AX$5),IF(I10="SGP-PB",LOOKUP(I11,◆入力◆④「1個放水」計算!$AL$15:$AX$15,◆入力◆④「1個放水」計算!$AL$16:$AX$16),IF(I10="HIVP",LOOKUP(I11,◆入力◆④「1個放水」計算!$AL$26:$AX$26,◆入力◆④「1個放水」計算!$AL$27:$AX$27),IF(OR(I10="SGP",I10="フレキ"),LOOKUP(I11,◆入力◆④「1個放水」計算!$AL$37:$AX$37,◆入力◆④「1個放水」計算!$AL$38:$AX$38),IF(I10="SUS",LOOKUP(I11,◆入力◆④「1個放水」計算!$AL$48:$AX$48,◆入力◆④「1個放水」計算!$AL$49:$AX$49),IF(OR(I10="PE",I10="PP"),LOOKUP(I11,◆入力◆④「1個放水」計算!$AL$59:$AX$59,◆入力◆④「1個放水」計算!$AL$60:$AX$60))))))))</f>
        <v>0</v>
      </c>
      <c r="J12" s="121"/>
      <c r="K12" s="134"/>
      <c r="L12" s="74"/>
      <c r="M12" s="142"/>
      <c r="N12" s="76"/>
      <c r="O12" s="87">
        <f ca="1">IF(I11=0,0,"Ｔ分")</f>
        <v>0</v>
      </c>
      <c r="P12" s="138"/>
      <c r="Q12" s="88">
        <f ca="1">IF(I11=0,0,IF(I10="SGP-VB",LOOKUP(I11,◆入力◆④「1個放水」計算!$AL$4:$AX$4,◆入力◆④「1個放水」計算!$AL$8:$AX$8),IF(I10="SGP-PB",LOOKUP(I11,◆入力◆④「1個放水」計算!$AL$15:$AX$15,◆入力◆④「1個放水」計算!$AL$19:$AX$19),IF(I10="HIVP",LOOKUP(I11,◆入力◆④「1個放水」計算!$AL$26:$AX$26,◆入力◆④「1個放水」計算!$AL$30:$AX$30),IF(OR(I10="SGP",I10="フレキ"),LOOKUP(I11,◆入力◆④「1個放水」計算!$AL$37:$AX$37,◆入力◆④「1個放水」計算!$AL$41:$AX$41),IF(I10="SUS",LOOKUP(I11,◆入力◆④「1個放水」計算!$AL$48:$AX$48,◆入力◆④「1個放水」計算!$AL$52:$AX$52),IF(OR(I10="PE",I10="PP"),LOOKUP(I11,◆入力◆④「1個放水」計算!$AL$59:$AX$59,◆入力◆④「1個放水」計算!$AL$64:$AX$64))))))))</f>
        <v>0</v>
      </c>
      <c r="R12" s="82">
        <f t="shared" ca="1" si="0"/>
        <v>0</v>
      </c>
      <c r="S12" s="83"/>
      <c r="T12" s="84"/>
      <c r="U12" s="147"/>
      <c r="V12" s="138"/>
      <c r="W12" s="82">
        <f ca="1">IF($U12="Yスト",AC12,IF($I10="sgp-vb",AD12,IF($I10="sgp-pb",AE12,IF($I10="hivp",AF12,IF(OR($I10="sgp",$I10="フレキ"),AG12,IF($I10="sus",AH12,IF(OR($I10="PE",$I10="PP"),AI12,0)))))))</f>
        <v>0</v>
      </c>
      <c r="X12" s="82">
        <f t="shared" ca="1" si="1"/>
        <v>0</v>
      </c>
      <c r="Y12" s="83"/>
      <c r="Z12" s="92">
        <f ca="1">ROUNDUP(L11*Y11,2)</f>
        <v>0</v>
      </c>
      <c r="AA12" s="40"/>
      <c r="AB12" s="93"/>
      <c r="AC12" s="90">
        <f>IF(U12="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2" s="90">
        <f>IF($U12="仕切弁",LOOKUP($I11,◆入力◆④「1個放水」計算!$AL$4:$AX$4,◆入力◆④「1個放水」計算!$AL$9:$AX$9),IF($U12="逆止弁",LOOKUP($I11,◆入力◆④「1個放水」計算!$AL$4:$AX$4,◆入力◆④「1個放水」計算!$AL$10:$AX$10),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E12" s="90">
        <f>IF($U12="仕切弁",LOOKUP($I11,◆入力◆④「1個放水」計算!$AL$15:$AX$15,◆入力◆④「1個放水」計算!$AL$20:$AX$20),IF($U12="逆止弁",LOOKUP($I11,◆入力◆④「1個放水」計算!$AL$15:$AX$15,◆入力◆④「1個放水」計算!$AL$21:$AX$21),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F12" s="90">
        <f>IF($U12="仕切弁",LOOKUP($I11,◆入力◆④「1個放水」計算!$AL$26:$AX$26,◆入力◆④「1個放水」計算!$AL$31:$AX$31),IF($U12="逆止弁",LOOKUP($I11,◆入力◆④「1個放水」計算!$AL$26:$AX$26,◆入力◆④「1個放水」計算!$AL$32:$AX$32),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G12" s="90">
        <f>IF($U12="仕切弁",LOOKUP($I11,◆入力◆④「1個放水」計算!$AL$37:$AX$37,◆入力◆④「1個放水」計算!$AL$42:$AX$42),IF($U12="逆止弁",LOOKUP($I11,◆入力◆④「1個放水」計算!$AL$37:$AX$37,◆入力◆④「1個放水」計算!$AL$43:$AX$43),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H12" s="90">
        <f>IF($U12="仕切弁",LOOKUP($I11,◆入力◆④「1個放水」計算!$AL$48:$AX$48,◆入力◆④「1個放水」計算!$AL$53:$AX$53),IF($U12="逆止弁",LOOKUP($I11,◆入力◆④「1個放水」計算!$AL$48:$AX$48,◆入力◆④「1個放水」計算!$AL$54:$AX$54),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I12" s="90">
        <f>IF($U12="仕切弁",LOOKUP($I11,◆入力◆④「1個放水」計算!$AL$59:$AX$59,◆入力◆④「1個放水」計算!$AL$65:$AX$65),IF($U12="逆止弁",LOOKUP($I11,◆入力◆④「1個放水」計算!$AL$59:$AX$59,◆入力◆④「1個放水」計算!$AL$66:$AX$66),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J12" s="144"/>
      <c r="AM12" s="20"/>
      <c r="AN12" s="20">
        <f>◆入力◆①配管容量!AN38</f>
        <v>0</v>
      </c>
      <c r="AO12" s="20">
        <f>◆入力◆①配管容量!AO38</f>
        <v>0</v>
      </c>
      <c r="BB12" s="50"/>
    </row>
    <row r="13" spans="6:54" x14ac:dyDescent="0.15">
      <c r="F13" s="235" t="s">
        <v>22</v>
      </c>
      <c r="G13" s="40"/>
      <c r="H13" s="132"/>
      <c r="I13" s="133">
        <f ca="1">IF(I10=0,0,OFFSET(◆入力◆④「1個放水」計算!I13,$F$55-$F$56,0,1,1))</f>
        <v>0</v>
      </c>
      <c r="J13" s="121"/>
      <c r="K13" s="148"/>
      <c r="L13" s="95"/>
      <c r="M13" s="135"/>
      <c r="N13" s="85"/>
      <c r="O13" s="77">
        <f ca="1">IF(I14=0,0,"E９０°")</f>
        <v>0</v>
      </c>
      <c r="P13" s="136">
        <f ca="1">IF($F$55=0,0,OFFSET(◆入力◆④「1個放水」計算!P13,$F$55-$F$56,0,1,1))</f>
        <v>0</v>
      </c>
      <c r="Q13" s="78">
        <f ca="1">IF(I14=0,0,IF(I13="SGP-VB",LOOKUP(I14,◆入力◆④「1個放水」計算!$AL$4:$AX$4,◆入力◆④「1個放水」計算!$AL$6:$AX$6),IF(I13="SGP-PB",LOOKUP(I14,◆入力◆④「1個放水」計算!$AL$15:$AX$15,◆入力◆④「1個放水」計算!$AL$17:$AX$17),IF(I13="HIVP",LOOKUP(I14,◆入力◆④「1個放水」計算!$AL$26:$AX$26,◆入力◆④「1個放水」計算!$AL$28:$AX$28),IF(OR(I13="SGP",I13="フレキ"),LOOKUP(I14,◆入力◆④「1個放水」計算!$AL$37:$AX$37,◆入力◆④「1個放水」計算!$AL$39:$AX$39),IF(I13="SUS",LOOKUP(I14,◆入力◆④「1個放水」計算!$AL$48:$AX$48,◆入力◆④「1個放水」計算!$AL$50:$AX$50),IF(OR(I13="PE",I13="PP"),LOOKUP(I14,◆入力◆④「1個放水」計算!$AL$59:$AX$59,◆入力◆④「1個放水」計算!$AL$61:$AX$61))))))))</f>
        <v>0</v>
      </c>
      <c r="R13" s="79">
        <f t="shared" ca="1" si="0"/>
        <v>0</v>
      </c>
      <c r="S13" s="80"/>
      <c r="T13" s="81">
        <v>0</v>
      </c>
      <c r="U13" s="137">
        <f ca="1">IF($F$55=0,0,OFFSET(◆入力◆④「1個放水」計算!U13,$F$55-$F$56,0,1,1))</f>
        <v>0</v>
      </c>
      <c r="V13" s="136">
        <f ca="1">IF($F$55=0,0,OFFSET(◆入力◆④「1個放水」計算!V13,$F$55-$F$56,0,1,1))</f>
        <v>0</v>
      </c>
      <c r="W13" s="79">
        <f ca="1">IF($U13="Yスト",AC13,IF($I13="sgp-vb",AD13,IF($I13="sgp-pb",AE13,IF($I13="hivp",AF13,IF(OR($I13="sgp",$I13="フレキ"),AG13,IF($I13="sus",AH13,IF(OR($I13="PE",$I13="PP"),AI13,0)))))))</f>
        <v>0</v>
      </c>
      <c r="X13" s="79">
        <f t="shared" ca="1" si="1"/>
        <v>0</v>
      </c>
      <c r="Y13" s="80"/>
      <c r="Z13" s="84">
        <f t="shared" ref="Z13" ca="1" si="2">IF(AND($U13="電動弁",$V13=1),LOOKUP($K14,$AL$76:$BQ$76,$AL$77:$BQ$77),IF(AND($U13="逆流防止装置E",$V13=1),LOOKUP($I14,$AN$105:$AQ$105,$AN109:$AQ109),IF(AND($U13="逆流防止装置K",$V13=1),LOOKUP($I14,$AN$105:$AQ$105,$AN110:$AQ110),IF(AND($U13="逆流防止装置T",$V13=1),LOOKUP($I14,$AN$105:$AQ$105,$AN111:$AQ111),0))))</f>
        <v>0</v>
      </c>
      <c r="AA13" s="40"/>
      <c r="AB13" s="76"/>
      <c r="AC13" s="86">
        <f ca="1">IF(U13="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3" s="86">
        <f ca="1">IF($U13="仕切弁",LOOKUP($I14,◆入力◆④「1個放水」計算!$AL$4:$AX$4,◆入力◆④「1個放水」計算!$AL$9:$AX$9),IF($U13="逆止弁",LOOKUP($I14,◆入力◆④「1個放水」計算!$AL$4:$AX$4,◆入力◆④「1個放水」計算!$AL$10:$AX$10),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E13" s="86">
        <f ca="1">IF($U13="仕切弁",LOOKUP($I14,◆入力◆④「1個放水」計算!$AL$15:$AX$15,◆入力◆④「1個放水」計算!$AL$20:$AX$20),IF($U13="逆止弁",LOOKUP($I14,◆入力◆④「1個放水」計算!$AL$15:$AX$15,◆入力◆④「1個放水」計算!$AL$21:$AX$21),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F13" s="86">
        <f ca="1">IF($U13="仕切弁",LOOKUP($I14,◆入力◆④「1個放水」計算!$AL$26:$AX$26,◆入力◆④「1個放水」計算!$AL$31:$AX$31),IF($U13="逆止弁",LOOKUP($I14,◆入力◆④「1個放水」計算!$AL$26:$AX$26,◆入力◆④「1個放水」計算!$AL$32:$AX$32),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G13" s="86">
        <f ca="1">IF($U13="仕切弁",LOOKUP($I14,◆入力◆④「1個放水」計算!$AL$37:$AX$37,◆入力◆④「1個放水」計算!$AL$42:$AX$42),IF($U13="逆止弁",LOOKUP($I14,◆入力◆④「1個放水」計算!$AL$37:$AX$37,◆入力◆④「1個放水」計算!$AL$43:$AX$43),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H13" s="86">
        <f ca="1">IF($U13="仕切弁",LOOKUP($I14,◆入力◆④「1個放水」計算!$AL$48:$AX$48,◆入力◆④「1個放水」計算!$AL$53:$AX$53),IF($U13="逆止弁",LOOKUP($I14,◆入力◆④「1個放水」計算!$AL$48:$AX$48,◆入力◆④「1個放水」計算!$AL$54:$AX$54),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I13" s="86">
        <f ca="1">IF($U13="仕切弁",LOOKUP($I14,◆入力◆④「1個放水」計算!$AL$59:$AX$59,◆入力◆④「1個放水」計算!$AL$65:$AX$65),IF($U13="逆止弁",LOOKUP($I14,◆入力◆④「1個放水」計算!$AL$59:$AX$59,◆入力◆④「1個放水」計算!$AL$66:$AX$66),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J13" s="144"/>
      <c r="AM13" s="20"/>
      <c r="AN13" s="20">
        <f>◆入力◆①配管容量!AN39</f>
        <v>0</v>
      </c>
      <c r="AO13" s="20">
        <f>◆入力◆①配管容量!AO39</f>
        <v>0</v>
      </c>
      <c r="BB13" s="50"/>
    </row>
    <row r="14" spans="6:54" x14ac:dyDescent="0.15">
      <c r="F14" s="235"/>
      <c r="G14" s="40"/>
      <c r="H14" s="149">
        <f ca="1">IF($F$55=0,0,IF(H11=◆入力◆④「1個放水」計算!$H$41,0,OFFSET(◆入力◆④「1個放水」計算!H14,$F$55-$F$56,0,1,1)))</f>
        <v>0</v>
      </c>
      <c r="I14" s="140">
        <f ca="1">IF(I11=0,0,OFFSET(◆入力◆④「1個放水」計算!I14,$F$55-$F$56,0,1,1))</f>
        <v>0</v>
      </c>
      <c r="J14" s="121"/>
      <c r="K14" s="134">
        <f ca="1">IF(I14=0,0,K11)</f>
        <v>0</v>
      </c>
      <c r="L14" s="74">
        <f ca="1">IF(I14=0,0,IF(I14&gt;=65,K14^1.85*0.012/I15^4.87,ROUNDUP((0.0126+(0.01739-(0.1087*I15/100))/SQRT(4*K14/(60000*PI()*(I15/100)^2)))*(1/(I15/100))*((4*K14/(60000*PI()*(I15/100)^2))^2/(2*9.8)),4)))</f>
        <v>0</v>
      </c>
      <c r="M14" s="142">
        <f ca="1">IF($F$55=0,0,OFFSET(◆入力◆④「1個放水」計算!M14,$F$55-$F$56,0,1,1))</f>
        <v>0</v>
      </c>
      <c r="N14" s="84">
        <f ca="1">ROUNDUP(L14*M14,2)</f>
        <v>0</v>
      </c>
      <c r="O14" s="87">
        <f ca="1">IF(I14=0,0,"Ｔ直")</f>
        <v>0</v>
      </c>
      <c r="P14" s="138">
        <f ca="1">IF($F$55=0,0,OFFSET(◆入力◆④「1個放水」計算!P14,$F$55-$F$56,0,1,1))</f>
        <v>0</v>
      </c>
      <c r="Q14" s="88">
        <f ca="1">IF(I14=0,0,IF(I13="SGP-VB",LOOKUP(I14,◆入力◆④「1個放水」計算!$AL$4:$AX$4,◆入力◆④「1個放水」計算!$AL$7:$AX$7),IF(I13="SGP-PB",LOOKUP(I14,◆入力◆④「1個放水」計算!$AL$15:$AX$15,◆入力◆④「1個放水」計算!$AL$18:$AX$18),IF(I13="HIVP",LOOKUP(I14,◆入力◆④「1個放水」計算!$AL$26:$AX$26,◆入力◆④「1個放水」計算!$AL$29:$AX$29),IF(OR(I13="SGP",I13="フレキ"),LOOKUP(I14,◆入力◆④「1個放水」計算!$AL$37:$AX$37,◆入力◆④「1個放水」計算!$AL$40:$AX$40),IF(I13="SUS",LOOKUP(I14,◆入力◆④「1個放水」計算!$AL$48:$AX$48,◆入力◆④「1個放水」計算!$AL$51:$AX$51),IF(OR(I13="PE",I13="PP"),LOOKUP(I14,◆入力◆④「1個放水」計算!$AL$59:$AX$59,◆入力◆④「1個放水」計算!$AL$63:$AX$63))))))))</f>
        <v>0</v>
      </c>
      <c r="R14" s="82">
        <f t="shared" ca="1" si="0"/>
        <v>0</v>
      </c>
      <c r="S14" s="83">
        <f ca="1">R13+R14+R15</f>
        <v>0</v>
      </c>
      <c r="T14" s="84">
        <f ca="1">ROUNDUP(L14*S14,2)</f>
        <v>0</v>
      </c>
      <c r="U14" s="143">
        <f ca="1">IF($F$55=0,0,OFFSET(◆入力◆④「1個放水」計算!U14,$F$55-$F$56,0,1,1))</f>
        <v>0</v>
      </c>
      <c r="V14" s="138">
        <f ca="1">IF($F$55=0,0,OFFSET(◆入力◆④「1個放水」計算!V14,$F$55-$F$56,0,1,1))</f>
        <v>0</v>
      </c>
      <c r="W14" s="82">
        <f ca="1">IF($U14="Yスト",AC14,IF($I13="sgp-vb",AD14,IF($I13="sgp-pb",AE14,IF($I13="hivp",AF14,IF(OR($I13="sgp",$I13="フレキ"),AG14,IF($I13="sus",AH14,IF(OR($I13="PE",$I13="PP"),AI14,0)))))))</f>
        <v>0</v>
      </c>
      <c r="X14" s="82">
        <f t="shared" ca="1" si="1"/>
        <v>0</v>
      </c>
      <c r="Y14" s="83">
        <f ca="1">SUM(X13:X15)</f>
        <v>0</v>
      </c>
      <c r="Z14" s="84">
        <f t="shared" ref="Z14" ca="1" si="3">IF(AND($U14="電動弁",$V14=1),LOOKUP($K14,$AL$76:$BQ$76,$AL$77:$BQ$77),IF(AND($U14="逆流防止装置E",$V14=1),LOOKUP($I14,$AN$105:$AQ$105,$AN109:$AQ109),IF(AND($U14="逆流防止装置K",$V14=1),LOOKUP($I14,$AN$105:$AQ$105,$AN110:$AQ110),IF(AND($U14="逆流防止装置T",$V14=1),LOOKUP($I14,$AN$105:$AQ$105,$AN111:$AQ111),0))))</f>
        <v>0</v>
      </c>
      <c r="AA14" s="40"/>
      <c r="AB14" s="84">
        <f ca="1">N14+T14+Z13+Z14+Z15</f>
        <v>0</v>
      </c>
      <c r="AC14" s="89">
        <f ca="1">IF(U14="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4" s="90">
        <f ca="1">IF($U14="仕切弁",LOOKUP($I14,◆入力◆④「1個放水」計算!$AL$4:$AX$4,◆入力◆④「1個放水」計算!$AL$9:$AX$9),IF($U14="逆止弁",LOOKUP($I14,◆入力◆④「1個放水」計算!$AL$4:$AX$4,◆入力◆④「1個放水」計算!$AL$10:$AX$10),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E14" s="90">
        <f ca="1">IF($U14="仕切弁",LOOKUP($I14,◆入力◆④「1個放水」計算!$AL$15:$AX$15,◆入力◆④「1個放水」計算!$AL$20:$AX$20),IF($U14="逆止弁",LOOKUP($I14,◆入力◆④「1個放水」計算!$AL$15:$AX$15,◆入力◆④「1個放水」計算!$AL$21:$AX$21),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F14" s="90">
        <f ca="1">IF($U14="仕切弁",LOOKUP($I14,◆入力◆④「1個放水」計算!$AL$26:$AX$26,◆入力◆④「1個放水」計算!$AL$31:$AX$31),IF($U14="逆止弁",LOOKUP($I14,◆入力◆④「1個放水」計算!$AL$26:$AX$26,◆入力◆④「1個放水」計算!$AL$32:$AX$32),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G14" s="90">
        <f ca="1">IF($U14="仕切弁",LOOKUP($I14,◆入力◆④「1個放水」計算!$AL$37:$AX$37,◆入力◆④「1個放水」計算!$AL$42:$AX$42),IF($U14="逆止弁",LOOKUP($I14,◆入力◆④「1個放水」計算!$AL$37:$AX$37,◆入力◆④「1個放水」計算!$AL$43:$AX$43),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H14" s="90">
        <f ca="1">IF($U14="仕切弁",LOOKUP($I14,◆入力◆④「1個放水」計算!$AL$48:$AX$48,◆入力◆④「1個放水」計算!$AL$53:$AX$53),IF($U14="逆止弁",LOOKUP($I14,◆入力◆④「1個放水」計算!$AL$48:$AX$48,◆入力◆④「1個放水」計算!$AL$54:$AX$54),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I14" s="90">
        <f ca="1">IF($U14="仕切弁",LOOKUP($I14,◆入力◆④「1個放水」計算!$AL$59:$AX$59,◆入力◆④「1個放水」計算!$AL$65:$AX$65),IF($U14="逆止弁",LOOKUP($I14,◆入力◆④「1個放水」計算!$AL$59:$AX$59,◆入力◆④「1個放水」計算!$AL$66:$AX$66),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J14" s="144"/>
      <c r="AM14" s="20"/>
      <c r="AN14" s="20">
        <f>◆入力◆①配管容量!AN45</f>
        <v>0</v>
      </c>
      <c r="AO14" s="20">
        <f>◆入力◆①配管容量!AO45</f>
        <v>0</v>
      </c>
      <c r="BB14" s="50"/>
    </row>
    <row r="15" spans="6:54" x14ac:dyDescent="0.15">
      <c r="F15" s="235"/>
      <c r="G15" s="40"/>
      <c r="H15" s="149"/>
      <c r="I15" s="146" t="b">
        <f ca="1">IF(I14="",0,IF(I13="SGP-VB",LOOKUP(I14,◆入力◆④「1個放水」計算!$AL$4:$AX$4,◆入力◆④「1個放水」計算!$AL$5:$AX$5),IF(I13="SGP-PB",LOOKUP(I14,◆入力◆④「1個放水」計算!$AL$15:$AX$15,◆入力◆④「1個放水」計算!$AL$16:$AX$16),IF(I13="HIVP",LOOKUP(I14,◆入力◆④「1個放水」計算!$AL$26:$AX$26,◆入力◆④「1個放水」計算!$AL$27:$AX$27),IF(OR(I13="SGP",I13="フレキ"),LOOKUP(I14,◆入力◆④「1個放水」計算!$AL$37:$AX$37,◆入力◆④「1個放水」計算!$AL$38:$AX$38),IF(I13="SUS",LOOKUP(I14,◆入力◆④「1個放水」計算!$AL$48:$AX$48,◆入力◆④「1個放水」計算!$AL$49:$AX$49),IF(OR(I13="PE",I13="PP"),LOOKUP(I14,◆入力◆④「1個放水」計算!$AL$59:$AX$59,◆入力◆④「1個放水」計算!$AL$60:$AX$60))))))))</f>
        <v>0</v>
      </c>
      <c r="J15" s="121"/>
      <c r="K15" s="150"/>
      <c r="L15" s="98"/>
      <c r="M15" s="151"/>
      <c r="N15" s="93"/>
      <c r="O15" s="87">
        <f ca="1">IF(I14=0,0,"Ｔ分")</f>
        <v>0</v>
      </c>
      <c r="P15" s="152">
        <f ca="1">IF($F$55=0,0,OFFSET(◆入力◆④「1個放水」計算!P15,$F$55-$F$56,0,1,1))</f>
        <v>0</v>
      </c>
      <c r="Q15" s="88">
        <f ca="1">IF(I14=0,0,IF(I13="SGP-VB",LOOKUP(I14,◆入力◆④「1個放水」計算!$AL$4:$AX$4,◆入力◆④「1個放水」計算!$AL$8:$AX$8),IF(I13="SGP-PB",LOOKUP(I14,◆入力◆④「1個放水」計算!$AL$15:$AX$15,◆入力◆④「1個放水」計算!$AL$19:$AX$19),IF(I13="HIVP",LOOKUP(I14,◆入力◆④「1個放水」計算!$AL$26:$AX$26,◆入力◆④「1個放水」計算!$AL$30:$AX$30),IF(OR(I13="SGP",I13="フレキ"),LOOKUP(I14,◆入力◆④「1個放水」計算!$AL$37:$AX$37,◆入力◆④「1個放水」計算!$AL$41:$AX$41),IF(I13="SUS",LOOKUP(I14,◆入力◆④「1個放水」計算!$AL$48:$AX$48,◆入力◆④「1個放水」計算!$AL$52:$AX$52),IF(OR(I13="PE",I13="PP"),LOOKUP(I14,◆入力◆④「1個放水」計算!$AL$59:$AX$59,◆入力◆④「1個放水」計算!$AL$64:$AX$64))))))))</f>
        <v>0</v>
      </c>
      <c r="R15" s="100">
        <f t="shared" ca="1" si="0"/>
        <v>0</v>
      </c>
      <c r="S15" s="101"/>
      <c r="T15" s="92"/>
      <c r="U15" s="153">
        <f ca="1">IF($F$55=0,0,OFFSET(◆入力◆④「1個放水」計算!U15,$F$55-$F$56,0,1,1))</f>
        <v>0</v>
      </c>
      <c r="V15" s="152">
        <f ca="1">IF($F$55=0,0,OFFSET(◆入力◆④「1個放水」計算!V15,$F$55-$F$56,0,1,1))</f>
        <v>0</v>
      </c>
      <c r="W15" s="100">
        <f ca="1">IF($U15="Yスト",AC15,IF($I13="sgp-vb",AD15,IF($I13="sgp-pb",AE15,IF($I13="hivp",AF15,IF(OR($I13="sgp",$I13="フレキ"),AG15,IF($I13="sus",AH15,IF(OR($I13="PE",$I13="PP"),AI15,0)))))))</f>
        <v>0</v>
      </c>
      <c r="X15" s="100">
        <f t="shared" ca="1" si="1"/>
        <v>0</v>
      </c>
      <c r="Y15" s="101"/>
      <c r="Z15" s="92">
        <f t="shared" ref="Z15" ca="1" si="4">ROUNDUP(L14*Y14,2)</f>
        <v>0</v>
      </c>
      <c r="AA15" s="40"/>
      <c r="AB15" s="76"/>
      <c r="AC15" s="90">
        <f ca="1">IF(U15="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5" s="90">
        <f ca="1">IF($U15="仕切弁",LOOKUP($I14,◆入力◆④「1個放水」計算!$AL$4:$AX$4,◆入力◆④「1個放水」計算!$AL$9:$AX$9),IF($U15="逆止弁",LOOKUP($I14,◆入力◆④「1個放水」計算!$AL$4:$AX$4,◆入力◆④「1個放水」計算!$AL$10:$AX$10),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E15" s="90">
        <f ca="1">IF($U15="仕切弁",LOOKUP($I14,◆入力◆④「1個放水」計算!$AL$15:$AX$15,◆入力◆④「1個放水」計算!$AL$20:$AX$20),IF($U15="逆止弁",LOOKUP($I14,◆入力◆④「1個放水」計算!$AL$15:$AX$15,◆入力◆④「1個放水」計算!$AL$21:$AX$21),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F15" s="90">
        <f ca="1">IF($U15="仕切弁",LOOKUP($I14,◆入力◆④「1個放水」計算!$AL$26:$AX$26,◆入力◆④「1個放水」計算!$AL$31:$AX$31),IF($U15="逆止弁",LOOKUP($I14,◆入力◆④「1個放水」計算!$AL$26:$AX$26,◆入力◆④「1個放水」計算!$AL$32:$AX$32),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G15" s="90">
        <f ca="1">IF($U15="仕切弁",LOOKUP($I14,◆入力◆④「1個放水」計算!$AL$37:$AX$37,◆入力◆④「1個放水」計算!$AL$42:$AX$42),IF($U15="逆止弁",LOOKUP($I14,◆入力◆④「1個放水」計算!$AL$37:$AX$37,◆入力◆④「1個放水」計算!$AL$43:$AX$43),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H15" s="90">
        <f ca="1">IF($U15="仕切弁",LOOKUP($I14,◆入力◆④「1個放水」計算!$AL$48:$AX$48,◆入力◆④「1個放水」計算!$AL$53:$AX$53),IF($U15="逆止弁",LOOKUP($I14,◆入力◆④「1個放水」計算!$AL$48:$AX$48,◆入力◆④「1個放水」計算!$AL$54:$AX$54),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I15" s="90">
        <f ca="1">IF($U15="仕切弁",LOOKUP($I14,◆入力◆④「1個放水」計算!$AL$59:$AX$59,◆入力◆④「1個放水」計算!$AL$65:$AX$65),IF($U15="逆止弁",LOOKUP($I14,◆入力◆④「1個放水」計算!$AL$59:$AX$59,◆入力◆④「1個放水」計算!$AL$66:$AX$66),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J15" s="144"/>
      <c r="BB15" s="50"/>
    </row>
    <row r="16" spans="6:54" x14ac:dyDescent="0.15">
      <c r="F16" s="235" t="s">
        <v>23</v>
      </c>
      <c r="G16" s="40"/>
      <c r="H16" s="132"/>
      <c r="I16" s="133">
        <f ca="1">IF(I13=0,0,OFFSET(◆入力◆④「1個放水」計算!I16,$F$55-$F$56,0,1,1))</f>
        <v>0</v>
      </c>
      <c r="J16" s="121"/>
      <c r="K16" s="134"/>
      <c r="L16" s="74"/>
      <c r="M16" s="142"/>
      <c r="N16" s="76"/>
      <c r="O16" s="77">
        <f ca="1">IF(I17=0,0,"E９０°")</f>
        <v>0</v>
      </c>
      <c r="P16" s="136">
        <f ca="1">IF($F$55=0,0,OFFSET(◆入力◆④「1個放水」計算!P16,$F$55-$F$56,0,1,1))</f>
        <v>0</v>
      </c>
      <c r="Q16" s="78">
        <f ca="1">IF(I17=0,0,IF(I16="SGP-VB",LOOKUP(I17,◆入力◆④「1個放水」計算!$AL$4:$AX$4,◆入力◆④「1個放水」計算!$AL$6:$AX$6),IF(I16="SGP-PB",LOOKUP(I17,◆入力◆④「1個放水」計算!$AL$15:$AX$15,◆入力◆④「1個放水」計算!$AL$17:$AX$17),IF(I16="HIVP",LOOKUP(I17,◆入力◆④「1個放水」計算!$AL$26:$AX$26,◆入力◆④「1個放水」計算!$AL$28:$AX$28),IF(OR(I16="SGP",I16="フレキ"),LOOKUP(I17,◆入力◆④「1個放水」計算!$AL$37:$AX$37,◆入力◆④「1個放水」計算!$AL$39:$AX$39),IF(I16="SUS",LOOKUP(I17,◆入力◆④「1個放水」計算!$AL$48:$AX$48,◆入力◆④「1個放水」計算!$AL$50:$AX$50),IF(OR(I16="PE",I16="PP"),LOOKUP(I17,◆入力◆④「1個放水」計算!$AL$59:$AX$59,◆入力◆④「1個放水」計算!$AL$61:$AX$61))))))))</f>
        <v>0</v>
      </c>
      <c r="R16" s="79">
        <f t="shared" ca="1" si="0"/>
        <v>0</v>
      </c>
      <c r="S16" s="80"/>
      <c r="T16" s="81">
        <v>0</v>
      </c>
      <c r="U16" s="137">
        <f ca="1">IF($F$55=0,0,OFFSET(◆入力◆④「1個放水」計算!U16,$F$55-$F$56,0,1,1))</f>
        <v>0</v>
      </c>
      <c r="V16" s="138">
        <f ca="1">IF($F$55=0,0,OFFSET(◆入力◆④「1個放水」計算!V16,$F$55-$F$56,0,1,1))</f>
        <v>0</v>
      </c>
      <c r="W16" s="82">
        <f ca="1">IF($U16="Yスト",AC16,IF($I16="sgp-vb",AD16,IF($I16="sgp-pb",AE16,IF($I16="hivp",AF16,IF(OR($I16="sgp",$I16="フレキ"),AG16,IF($I16="sus",AH16,IF(OR($I16="PE",$I16="PP"),AI16,0)))))))</f>
        <v>0</v>
      </c>
      <c r="X16" s="82">
        <f t="shared" ca="1" si="1"/>
        <v>0</v>
      </c>
      <c r="Y16" s="83"/>
      <c r="Z16" s="84">
        <f t="shared" ref="Z16" ca="1" si="5">IF(AND($U16="電動弁",$V16=1),LOOKUP($K17,$AL$76:$BQ$76,$AL$77:$BQ$77),IF(AND($U16="逆流防止装置E",$V16=1),LOOKUP($I17,$AN$105:$AQ$105,$AN112:$AQ112),IF(AND($U16="逆流防止装置K",$V16=1),LOOKUP($I17,$AN$105:$AQ$105,$AN113:$AQ113),IF(AND($U16="逆流防止装置T",$V16=1),LOOKUP($I17,$AN$105:$AQ$105,$AN114:$AQ114),0))))</f>
        <v>0</v>
      </c>
      <c r="AA16" s="40"/>
      <c r="AB16" s="85"/>
      <c r="AC16" s="86">
        <f ca="1">IF(U16="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6" s="86">
        <f ca="1">IF($U16="仕切弁",LOOKUP($I17,◆入力◆④「1個放水」計算!$AL$4:$AX$4,◆入力◆④「1個放水」計算!$AL$9:$AX$9),IF($U16="逆止弁",LOOKUP($I17,◆入力◆④「1個放水」計算!$AL$4:$AX$4,◆入力◆④「1個放水」計算!$AL$10:$AX$10),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E16" s="86">
        <f ca="1">IF($U16="仕切弁",LOOKUP($I17,◆入力◆④「1個放水」計算!$AL$15:$AX$15,◆入力◆④「1個放水」計算!$AL$20:$AX$20),IF($U16="逆止弁",LOOKUP($I17,◆入力◆④「1個放水」計算!$AL$15:$AX$15,◆入力◆④「1個放水」計算!$AL$21:$AX$21),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F16" s="86">
        <f ca="1">IF($U16="仕切弁",LOOKUP($I17,◆入力◆④「1個放水」計算!$AL$26:$AX$26,◆入力◆④「1個放水」計算!$AL$31:$AX$31),IF($U16="逆止弁",LOOKUP($I17,◆入力◆④「1個放水」計算!$AL$26:$AX$26,◆入力◆④「1個放水」計算!$AL$32:$AX$32),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G16" s="86">
        <f ca="1">IF($U16="仕切弁",LOOKUP($I17,◆入力◆④「1個放水」計算!$AL$37:$AX$37,◆入力◆④「1個放水」計算!$AL$42:$AX$42),IF($U16="逆止弁",LOOKUP($I17,◆入力◆④「1個放水」計算!$AL$37:$AX$37,◆入力◆④「1個放水」計算!$AL$43:$AX$43),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H16" s="86">
        <f ca="1">IF($U16="仕切弁",LOOKUP($I17,◆入力◆④「1個放水」計算!$AL$48:$AX$48,◆入力◆④「1個放水」計算!$AL$53:$AX$53),IF($U16="逆止弁",LOOKUP($I17,◆入力◆④「1個放水」計算!$AL$48:$AX$48,◆入力◆④「1個放水」計算!$AL$54:$AX$54),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I16" s="86">
        <f ca="1">IF($U16="仕切弁",LOOKUP($I17,◆入力◆④「1個放水」計算!$AL$59:$AX$59,◆入力◆④「1個放水」計算!$AL$65:$AX$65),IF($U16="逆止弁",LOOKUP($I17,◆入力◆④「1個放水」計算!$AL$59:$AX$59,◆入力◆④「1個放水」計算!$AL$66:$AX$66),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J16" s="144"/>
      <c r="BB16" s="50"/>
    </row>
    <row r="17" spans="6:54" x14ac:dyDescent="0.15">
      <c r="F17" s="235"/>
      <c r="G17" s="40"/>
      <c r="H17" s="149">
        <f ca="1">IF($F$55=0,0,IF(H14=◆入力◆④「1個放水」計算!$H$41,0,OFFSET(◆入力◆④「1個放水」計算!H17,$F$55-$F$56,0,1,1)))</f>
        <v>0</v>
      </c>
      <c r="I17" s="140">
        <f ca="1">IF(I14=0,0,OFFSET(◆入力◆④「1個放水」計算!I17,$F$55-$F$56,0,1,1))</f>
        <v>0</v>
      </c>
      <c r="J17" s="121"/>
      <c r="K17" s="134">
        <f ca="1">IF(I17=0,0,K14)</f>
        <v>0</v>
      </c>
      <c r="L17" s="74">
        <f ca="1">IF(I17=0,0,IF(I17&gt;=65,K17^1.85*0.012/I18^4.87,ROUNDUP((0.0126+(0.01739-(0.1087*I18/100))/SQRT(4*K17/(60000*PI()*(I18/100)^2)))*(1/(I18/100))*((4*K17/(60000*PI()*(I18/100)^2))^2/(2*9.8)),4)))</f>
        <v>0</v>
      </c>
      <c r="M17" s="142">
        <f ca="1">IF($F$55=0,0,OFFSET(◆入力◆④「1個放水」計算!M17,$F$55-$F$56,0,1,1))</f>
        <v>0</v>
      </c>
      <c r="N17" s="84">
        <f ca="1">ROUNDUP(L17*M17,2)</f>
        <v>0</v>
      </c>
      <c r="O17" s="87">
        <f ca="1">IF(I17=0,0,"Ｔ直")</f>
        <v>0</v>
      </c>
      <c r="P17" s="138">
        <f ca="1">IF($F$55=0,0,OFFSET(◆入力◆④「1個放水」計算!P17,$F$55-$F$56,0,1,1))</f>
        <v>0</v>
      </c>
      <c r="Q17" s="88">
        <f ca="1">IF(I17=0,0,IF(I16="SGP-VB",LOOKUP(I17,◆入力◆④「1個放水」計算!$AL$4:$AX$4,◆入力◆④「1個放水」計算!$AL$7:$AX$7),IF(I16="SGP-PB",LOOKUP(I17,◆入力◆④「1個放水」計算!$AL$15:$AX$15,◆入力◆④「1個放水」計算!$AL$18:$AX$18),IF(I16="HIVP",LOOKUP(I17,◆入力◆④「1個放水」計算!$AL$26:$AX$26,◆入力◆④「1個放水」計算!$AL$29:$AX$29),IF(OR(I16="SGP",I16="フレキ"),LOOKUP(I17,◆入力◆④「1個放水」計算!$AL$37:$AX$37,◆入力◆④「1個放水」計算!$AL$40:$AX$40),IF(I16="SUS",LOOKUP(I17,◆入力◆④「1個放水」計算!$AL$48:$AX$48,◆入力◆④「1個放水」計算!$AL$51:$AX$51),IF(OR(I16="PE",I16="PP"),LOOKUP(I17,◆入力◆④「1個放水」計算!$AL$59:$AX$59,◆入力◆④「1個放水」計算!$AL$63:$AX$63))))))))</f>
        <v>0</v>
      </c>
      <c r="R17" s="82">
        <f t="shared" ca="1" si="0"/>
        <v>0</v>
      </c>
      <c r="S17" s="83">
        <f ca="1">R16+R17+R18</f>
        <v>0</v>
      </c>
      <c r="T17" s="84">
        <f ca="1">ROUNDUP(L17*S17,2)</f>
        <v>0</v>
      </c>
      <c r="U17" s="143">
        <f ca="1">IF($F$55=0,0,OFFSET(◆入力◆④「1個放水」計算!U17,$F$55-$F$56,0,1,1))</f>
        <v>0</v>
      </c>
      <c r="V17" s="138">
        <f ca="1">IF($F$55=0,0,OFFSET(◆入力◆④「1個放水」計算!V17,$F$55-$F$56,0,1,1))</f>
        <v>0</v>
      </c>
      <c r="W17" s="82">
        <f ca="1">IF($U17="Yスト",AC17,IF($I16="sgp-vb",AD17,IF($I16="sgp-pb",AE17,IF($I16="hivp",AF17,IF(OR($I16="sgp",$I16="フレキ"),AG17,IF($I16="sus",AH17,IF(OR($I16="PE",$I16="PP"),AI17,0)))))))</f>
        <v>0</v>
      </c>
      <c r="X17" s="82">
        <f t="shared" ca="1" si="1"/>
        <v>0</v>
      </c>
      <c r="Y17" s="83">
        <f ca="1">SUM(X16:X18)</f>
        <v>0</v>
      </c>
      <c r="Z17" s="84">
        <f t="shared" ref="Z17" ca="1" si="6">IF(AND($U17="電動弁",$V17=1),LOOKUP($K17,$AL$76:$BQ$76,$AL$77:$BQ$77),IF(AND($U17="逆流防止装置E",$V17=1),LOOKUP($I17,$AN$105:$AQ$105,$AN112:$AQ112),IF(AND($U17="逆流防止装置K",$V17=1),LOOKUP($I17,$AN$105:$AQ$105,$AN113:$AQ113),IF(AND($U17="逆流防止装置T",$V17=1),LOOKUP($I17,$AN$105:$AQ$105,$AN114:$AQ114),0))))</f>
        <v>0</v>
      </c>
      <c r="AA17" s="40"/>
      <c r="AB17" s="84">
        <f ca="1">N17+T17+Z16+Z17+Z18</f>
        <v>0</v>
      </c>
      <c r="AC17" s="89">
        <f ca="1">IF(U17="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7" s="90">
        <f ca="1">IF($U17="仕切弁",LOOKUP($I17,◆入力◆④「1個放水」計算!$AL$4:$AX$4,◆入力◆④「1個放水」計算!$AL$9:$AX$9),IF($U17="逆止弁",LOOKUP($I17,◆入力◆④「1個放水」計算!$AL$4:$AX$4,◆入力◆④「1個放水」計算!$AL$10:$AX$10),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E17" s="90">
        <f ca="1">IF($U17="仕切弁",LOOKUP($I17,◆入力◆④「1個放水」計算!$AL$15:$AX$15,◆入力◆④「1個放水」計算!$AL$20:$AX$20),IF($U17="逆止弁",LOOKUP($I17,◆入力◆④「1個放水」計算!$AL$15:$AX$15,◆入力◆④「1個放水」計算!$AL$21:$AX$21),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F17" s="90">
        <f ca="1">IF($U17="仕切弁",LOOKUP($I17,◆入力◆④「1個放水」計算!$AL$26:$AX$26,◆入力◆④「1個放水」計算!$AL$31:$AX$31),IF($U17="逆止弁",LOOKUP($I17,◆入力◆④「1個放水」計算!$AL$26:$AX$26,◆入力◆④「1個放水」計算!$AL$32:$AX$32),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G17" s="90">
        <f ca="1">IF($U17="仕切弁",LOOKUP($I17,◆入力◆④「1個放水」計算!$AL$37:$AX$37,◆入力◆④「1個放水」計算!$AL$42:$AX$42),IF($U17="逆止弁",LOOKUP($I17,◆入力◆④「1個放水」計算!$AL$37:$AX$37,◆入力◆④「1個放水」計算!$AL$43:$AX$43),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H17" s="90">
        <f ca="1">IF($U17="仕切弁",LOOKUP($I17,◆入力◆④「1個放水」計算!$AL$48:$AX$48,◆入力◆④「1個放水」計算!$AL$53:$AX$53),IF($U17="逆止弁",LOOKUP($I17,◆入力◆④「1個放水」計算!$AL$48:$AX$48,◆入力◆④「1個放水」計算!$AL$54:$AX$54),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I17" s="90">
        <f ca="1">IF($U17="仕切弁",LOOKUP($I17,◆入力◆④「1個放水」計算!$AL$59:$AX$59,◆入力◆④「1個放水」計算!$AL$65:$AX$65),IF($U17="逆止弁",LOOKUP($I17,◆入力◆④「1個放水」計算!$AL$59:$AX$59,◆入力◆④「1個放水」計算!$AL$66:$AX$66),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J17" s="144"/>
      <c r="BB17" s="50"/>
    </row>
    <row r="18" spans="6:54" x14ac:dyDescent="0.15">
      <c r="F18" s="235"/>
      <c r="G18" s="40"/>
      <c r="H18" s="145"/>
      <c r="I18" s="146" t="b">
        <f ca="1">IF(I17="",0,IF(I16="SGP-VB",LOOKUP(I17,◆入力◆④「1個放水」計算!$AL$4:$AX$4,◆入力◆④「1個放水」計算!$AL$5:$AX$5),IF(I16="SGP-PB",LOOKUP(I17,◆入力◆④「1個放水」計算!$AL$15:$AX$15,◆入力◆④「1個放水」計算!$AL$16:$AX$16),IF(I16="HIVP",LOOKUP(I17,◆入力◆④「1個放水」計算!$AL$26:$AX$26,◆入力◆④「1個放水」計算!$AL$27:$AX$27),IF(OR(I16="SGP",I16="フレキ"),LOOKUP(I17,◆入力◆④「1個放水」計算!$AL$37:$AX$37,◆入力◆④「1個放水」計算!$AL$38:$AX$38),IF(I16="SUS",LOOKUP(I17,◆入力◆④「1個放水」計算!$AL$48:$AX$48,◆入力◆④「1個放水」計算!$AL$49:$AX$49),IF(OR(I16="PE",I16="PP"),LOOKUP(I17,◆入力◆④「1個放水」計算!$AL$59:$AX$59,◆入力◆④「1個放水」計算!$AL$60:$AX$60))))))))</f>
        <v>0</v>
      </c>
      <c r="J18" s="121"/>
      <c r="K18" s="134"/>
      <c r="L18" s="74"/>
      <c r="M18" s="142"/>
      <c r="N18" s="76"/>
      <c r="O18" s="87">
        <f ca="1">IF(I17=0,0,"Ｔ分")</f>
        <v>0</v>
      </c>
      <c r="P18" s="152">
        <f ca="1">IF($F$55=0,0,OFFSET(◆入力◆④「1個放水」計算!P18,$F$55-$F$56,0,1,1))</f>
        <v>0</v>
      </c>
      <c r="Q18" s="88">
        <f ca="1">IF(I17=0,0,IF(I16="SGP-VB",LOOKUP(I17,◆入力◆④「1個放水」計算!$AL$4:$AX$4,◆入力◆④「1個放水」計算!$AL$8:$AX$8),IF(I16="SGP-PB",LOOKUP(I17,◆入力◆④「1個放水」計算!$AL$15:$AX$15,◆入力◆④「1個放水」計算!$AL$19:$AX$19),IF(I16="HIVP",LOOKUP(I17,◆入力◆④「1個放水」計算!$AL$26:$AX$26,◆入力◆④「1個放水」計算!$AL$30:$AX$30),IF(OR(I16="SGP",I16="フレキ"),LOOKUP(I17,◆入力◆④「1個放水」計算!$AL$37:$AX$37,◆入力◆④「1個放水」計算!$AL$41:$AX$41),IF(I16="SUS",LOOKUP(I17,◆入力◆④「1個放水」計算!$AL$48:$AX$48,◆入力◆④「1個放水」計算!$AL$52:$AX$52),IF(OR(I16="PE",I16="PP"),LOOKUP(I17,◆入力◆④「1個放水」計算!$AL$59:$AX$59,◆入力◆④「1個放水」計算!$AL$64:$AX$64))))))))</f>
        <v>0</v>
      </c>
      <c r="R18" s="100">
        <f t="shared" ca="1" si="0"/>
        <v>0</v>
      </c>
      <c r="S18" s="101"/>
      <c r="T18" s="92"/>
      <c r="U18" s="147">
        <f ca="1">IF($F$55=0,0,OFFSET(◆入力◆④「1個放水」計算!U18,$F$55-$F$56,0,1,1))</f>
        <v>0</v>
      </c>
      <c r="V18" s="138">
        <f ca="1">IF($F$55=0,0,OFFSET(◆入力◆④「1個放水」計算!V18,$F$55-$F$56,0,1,1))</f>
        <v>0</v>
      </c>
      <c r="W18" s="100">
        <f ca="1">IF($U18="Yスト",AC18,IF($I16="sgp-vb",AD18,IF($I16="sgp-pb",AE18,IF($I16="hivp",AF18,IF(OR($I16="sgp",$I16="フレキ"),AG18,IF($I16="sus",AH18,IF(OR($I16="PE",$I16="PP"),AI18,0)))))))</f>
        <v>0</v>
      </c>
      <c r="X18" s="82">
        <f t="shared" ca="1" si="1"/>
        <v>0</v>
      </c>
      <c r="Y18" s="83"/>
      <c r="Z18" s="92">
        <f t="shared" ref="Z18" ca="1" si="7">ROUNDUP(L17*Y17,2)</f>
        <v>0</v>
      </c>
      <c r="AA18" s="40"/>
      <c r="AB18" s="93"/>
      <c r="AC18" s="90">
        <f ca="1">IF(U18="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8" s="90">
        <f ca="1">IF($U18="仕切弁",LOOKUP($I17,◆入力◆④「1個放水」計算!$AL$4:$AX$4,◆入力◆④「1個放水」計算!$AL$9:$AX$9),IF($U18="逆止弁",LOOKUP($I17,◆入力◆④「1個放水」計算!$AL$4:$AX$4,◆入力◆④「1個放水」計算!$AL$10:$AX$10),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E18" s="90">
        <f ca="1">IF($U18="仕切弁",LOOKUP($I17,◆入力◆④「1個放水」計算!$AL$15:$AX$15,◆入力◆④「1個放水」計算!$AL$20:$AX$20),IF($U18="逆止弁",LOOKUP($I17,◆入力◆④「1個放水」計算!$AL$15:$AX$15,◆入力◆④「1個放水」計算!$AL$21:$AX$21),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F18" s="90">
        <f ca="1">IF($U18="仕切弁",LOOKUP($I17,◆入力◆④「1個放水」計算!$AL$26:$AX$26,◆入力◆④「1個放水」計算!$AL$31:$AX$31),IF($U18="逆止弁",LOOKUP($I17,◆入力◆④「1個放水」計算!$AL$26:$AX$26,◆入力◆④「1個放水」計算!$AL$32:$AX$32),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G18" s="90">
        <f ca="1">IF($U18="仕切弁",LOOKUP($I17,◆入力◆④「1個放水」計算!$AL$37:$AX$37,◆入力◆④「1個放水」計算!$AL$42:$AX$42),IF($U18="逆止弁",LOOKUP($I17,◆入力◆④「1個放水」計算!$AL$37:$AX$37,◆入力◆④「1個放水」計算!$AL$43:$AX$43),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H18" s="90">
        <f ca="1">IF($U18="仕切弁",LOOKUP($I17,◆入力◆④「1個放水」計算!$AL$48:$AX$48,◆入力◆④「1個放水」計算!$AL$53:$AX$53),IF($U18="逆止弁",LOOKUP($I17,◆入力◆④「1個放水」計算!$AL$48:$AX$48,◆入力◆④「1個放水」計算!$AL$54:$AX$54),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I18" s="90">
        <f ca="1">IF($U18="仕切弁",LOOKUP($I17,◆入力◆④「1個放水」計算!$AL$59:$AX$59,◆入力◆④「1個放水」計算!$AL$65:$AX$65),IF($U18="逆止弁",LOOKUP($I17,◆入力◆④「1個放水」計算!$AL$59:$AX$59,◆入力◆④「1個放水」計算!$AL$66:$AX$66),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J18" s="144"/>
      <c r="BB18" s="50"/>
    </row>
    <row r="19" spans="6:54" x14ac:dyDescent="0.15">
      <c r="F19" s="235" t="s">
        <v>24</v>
      </c>
      <c r="G19" s="40"/>
      <c r="H19" s="154"/>
      <c r="I19" s="133">
        <f ca="1">IF(I16=0,0,OFFSET(◆入力◆④「1個放水」計算!I19,$F$55-$F$56,0,1,1))</f>
        <v>0</v>
      </c>
      <c r="J19" s="121"/>
      <c r="K19" s="148"/>
      <c r="L19" s="95"/>
      <c r="M19" s="135"/>
      <c r="N19" s="85"/>
      <c r="O19" s="77">
        <f ca="1">IF(I20=0,0,"E９０°")</f>
        <v>0</v>
      </c>
      <c r="P19" s="136">
        <f ca="1">IF($F$55=0,0,OFFSET(◆入力◆④「1個放水」計算!P19,$F$55-$F$56,0,1,1))</f>
        <v>0</v>
      </c>
      <c r="Q19" s="78">
        <f ca="1">IF(I20=0,0,IF(I19="SGP-VB",LOOKUP(I20,◆入力◆④「1個放水」計算!$AL$4:$AX$4,◆入力◆④「1個放水」計算!$AL$6:$AX$6),IF(I19="SGP-PB",LOOKUP(I20,◆入力◆④「1個放水」計算!$AL$15:$AX$15,◆入力◆④「1個放水」計算!$AL$17:$AX$17),IF(I19="HIVP",LOOKUP(I20,◆入力◆④「1個放水」計算!$AL$26:$AX$26,◆入力◆④「1個放水」計算!$AL$28:$AX$28),IF(OR(I19="SGP",I19="フレキ"),LOOKUP(I20,◆入力◆④「1個放水」計算!$AL$37:$AX$37,◆入力◆④「1個放水」計算!$AL$39:$AX$39),IF(I19="SUS",LOOKUP(I20,◆入力◆④「1個放水」計算!$AL$48:$AX$48,◆入力◆④「1個放水」計算!$AL$50:$AX$50),IF(OR(I19="PE",I19="PP"),LOOKUP(I20,◆入力◆④「1個放水」計算!$AL$59:$AX$59,◆入力◆④「1個放水」計算!$AL$61:$AX$61))))))))</f>
        <v>0</v>
      </c>
      <c r="R19" s="79">
        <f t="shared" ca="1" si="0"/>
        <v>0</v>
      </c>
      <c r="S19" s="80"/>
      <c r="T19" s="81">
        <v>0</v>
      </c>
      <c r="U19" s="137">
        <f ca="1">IF($F$55=0,0,OFFSET(◆入力◆④「1個放水」計算!U19,$F$55-$F$56,0,1,1))</f>
        <v>0</v>
      </c>
      <c r="V19" s="136">
        <f ca="1">IF($F$55=0,0,OFFSET(◆入力◆④「1個放水」計算!V19,$F$55-$F$56,0,1,1))</f>
        <v>0</v>
      </c>
      <c r="W19" s="82">
        <f ca="1">IF($U19="Yスト",AC19,IF($I19="sgp-vb",AD19,IF($I19="sgp-pb",AE19,IF($I19="hivp",AF19,IF(OR($I19="sgp",$I19="フレキ"),AG19,IF($I19="sus",AH19,IF(OR($I19="PE",$I19="PP"),AI19,0)))))))</f>
        <v>0</v>
      </c>
      <c r="X19" s="79">
        <f t="shared" ca="1" si="1"/>
        <v>0</v>
      </c>
      <c r="Y19" s="80"/>
      <c r="Z19" s="84">
        <f t="shared" ref="Z19" ca="1" si="8">IF(AND($U19="電動弁",$V19=1),LOOKUP($K20,$AL$76:$BQ$76,$AL$77:$BQ$77),IF(AND($U19="逆流防止装置E",$V19=1),LOOKUP($I20,$AN$105:$AQ$105,$AN115:$AQ115),IF(AND($U19="逆流防止装置K",$V19=1),LOOKUP($I20,$AN$105:$AQ$105,$AN116:$AQ116),IF(AND($U19="逆流防止装置T",$V19=1),LOOKUP($I20,$AN$105:$AQ$105,$AN117:$AQ117),0))))</f>
        <v>0</v>
      </c>
      <c r="AA19" s="40"/>
      <c r="AB19" s="76"/>
      <c r="AC19" s="86">
        <f ca="1">IF(U19="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19" s="86">
        <f ca="1">IF($U19="仕切弁",LOOKUP($I20,◆入力◆④「1個放水」計算!$AL$4:$AX$4,◆入力◆④「1個放水」計算!$AL$9:$AX$9),IF($U19="逆止弁",LOOKUP($I20,◆入力◆④「1個放水」計算!$AL$4:$AX$4,◆入力◆④「1個放水」計算!$AL$10:$AX$10),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E19" s="86">
        <f ca="1">IF($U19="仕切弁",LOOKUP($I20,◆入力◆④「1個放水」計算!$AL$15:$AX$15,◆入力◆④「1個放水」計算!$AL$20:$AX$20),IF($U19="逆止弁",LOOKUP($I20,◆入力◆④「1個放水」計算!$AL$15:$AX$15,◆入力◆④「1個放水」計算!$AL$21:$AX$21),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F19" s="86">
        <f ca="1">IF($U19="仕切弁",LOOKUP($I20,◆入力◆④「1個放水」計算!$AL$26:$AX$26,◆入力◆④「1個放水」計算!$AL$31:$AX$31),IF($U19="逆止弁",LOOKUP($I20,◆入力◆④「1個放水」計算!$AL$26:$AX$26,◆入力◆④「1個放水」計算!$AL$32:$AX$32),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G19" s="86">
        <f ca="1">IF($U19="仕切弁",LOOKUP($I20,◆入力◆④「1個放水」計算!$AL$37:$AX$37,◆入力◆④「1個放水」計算!$AL$42:$AX$42),IF($U19="逆止弁",LOOKUP($I20,◆入力◆④「1個放水」計算!$AL$37:$AX$37,◆入力◆④「1個放水」計算!$AL$43:$AX$43),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H19" s="86">
        <f ca="1">IF($U19="仕切弁",LOOKUP($I20,◆入力◆④「1個放水」計算!$AL$48:$AX$48,◆入力◆④「1個放水」計算!$AL$53:$AX$53),IF($U19="逆止弁",LOOKUP($I20,◆入力◆④「1個放水」計算!$AL$48:$AX$48,◆入力◆④「1個放水」計算!$AL$54:$AX$54),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I19" s="86">
        <f ca="1">IF($U19="仕切弁",LOOKUP($I20,◆入力◆④「1個放水」計算!$AL$59:$AX$59,◆入力◆④「1個放水」計算!$AL$65:$AX$65),IF($U19="逆止弁",LOOKUP($I20,◆入力◆④「1個放水」計算!$AL$59:$AX$59,◆入力◆④「1個放水」計算!$AL$66:$AX$66),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J19" s="115"/>
      <c r="AL19" s="40"/>
      <c r="AM19" s="40"/>
      <c r="BB19" s="50"/>
    </row>
    <row r="20" spans="6:54" x14ac:dyDescent="0.15">
      <c r="F20" s="235"/>
      <c r="G20" s="40"/>
      <c r="H20" s="149">
        <f ca="1">IF($F$55=0,0,IF(H17=◆入力◆④「1個放水」計算!$H$41,0,OFFSET(◆入力◆④「1個放水」計算!H20,$F$55-$F$56,0,1,1)))</f>
        <v>0</v>
      </c>
      <c r="I20" s="140">
        <f ca="1">IF(I17=0,0,OFFSET(◆入力◆④「1個放水」計算!I20,$F$55-$F$56,0,1,1))</f>
        <v>0</v>
      </c>
      <c r="J20" s="121"/>
      <c r="K20" s="134">
        <f ca="1">IF(I20=0,0,K17)</f>
        <v>0</v>
      </c>
      <c r="L20" s="74">
        <f ca="1">IF(I20=0,0,IF(I20&gt;=65,K20^1.85*0.012/I21^4.87,ROUNDUP((0.0126+(0.01739-(0.1087*I21/100))/SQRT(4*K20/(60000*PI()*(I21/100)^2)))*(1/(I21/100))*((4*K20/(60000*PI()*(I21/100)^2))^2/(2*9.8)),4)))</f>
        <v>0</v>
      </c>
      <c r="M20" s="142">
        <f ca="1">IF($F$55=0,0,OFFSET(◆入力◆④「1個放水」計算!M20,$F$55-$F$56,0,1,1))</f>
        <v>0</v>
      </c>
      <c r="N20" s="84">
        <f ca="1">ROUNDUP(L20*M20,2)</f>
        <v>0</v>
      </c>
      <c r="O20" s="87">
        <f ca="1">IF(I20=0,0,"Ｔ直")</f>
        <v>0</v>
      </c>
      <c r="P20" s="138">
        <f ca="1">IF($F$55=0,0,OFFSET(◆入力◆④「1個放水」計算!P20,$F$55-$F$56,0,1,1))</f>
        <v>0</v>
      </c>
      <c r="Q20" s="88">
        <f ca="1">IF(I20=0,0,IF(I19="SGP-VB",LOOKUP(I20,◆入力◆④「1個放水」計算!$AL$4:$AX$4,◆入力◆④「1個放水」計算!$AL$7:$AX$7),IF(I19="SGP-PB",LOOKUP(I20,◆入力◆④「1個放水」計算!$AL$15:$AX$15,◆入力◆④「1個放水」計算!$AL$18:$AX$18),IF(I19="HIVP",LOOKUP(I20,◆入力◆④「1個放水」計算!$AL$26:$AX$26,◆入力◆④「1個放水」計算!$AL$29:$AX$29),IF(OR(I19="SGP",I19="フレキ"),LOOKUP(I20,◆入力◆④「1個放水」計算!$AL$37:$AX$37,◆入力◆④「1個放水」計算!$AL$40:$AX$40),IF(I19="SUS",LOOKUP(I20,◆入力◆④「1個放水」計算!$AL$48:$AX$48,◆入力◆④「1個放水」計算!$AL$51:$AX$51),IF(OR(I19="PE",I19="PP"),LOOKUP(I20,◆入力◆④「1個放水」計算!$AL$59:$AX$59,◆入力◆④「1個放水」計算!$AL$63:$AX$63))))))))</f>
        <v>0</v>
      </c>
      <c r="R20" s="82">
        <f t="shared" ca="1" si="0"/>
        <v>0</v>
      </c>
      <c r="S20" s="83">
        <f ca="1">R19+R20+R21</f>
        <v>0</v>
      </c>
      <c r="T20" s="84">
        <f ca="1">ROUNDUP(L20*S20,2)</f>
        <v>0</v>
      </c>
      <c r="U20" s="143">
        <f ca="1">IF($F$55=0,0,OFFSET(◆入力◆④「1個放水」計算!U20,$F$55-$F$56,0,1,1))</f>
        <v>0</v>
      </c>
      <c r="V20" s="138">
        <f ca="1">IF($F$55=0,0,OFFSET(◆入力◆④「1個放水」計算!V20,$F$55-$F$56,0,1,1))</f>
        <v>0</v>
      </c>
      <c r="W20" s="82">
        <f ca="1">IF($U20="Yスト",AC20,IF($I19="sgp-vb",AD20,IF($I19="sgp-pb",AE20,IF($I19="hivp",AF20,IF(OR($I19="sgp",$I19="フレキ"),AG20,IF($I19="sus",AH20,IF(OR($I19="PE",$I19="PP"),AI20,0)))))))</f>
        <v>0</v>
      </c>
      <c r="X20" s="82">
        <f t="shared" ca="1" si="1"/>
        <v>0</v>
      </c>
      <c r="Y20" s="83">
        <f ca="1">SUM(X19:X21)</f>
        <v>0</v>
      </c>
      <c r="Z20" s="84">
        <f t="shared" ref="Z20" ca="1" si="9">IF(AND($U20="電動弁",$V20=1),LOOKUP($K20,$AL$76:$BQ$76,$AL$77:$BQ$77),IF(AND($U20="逆流防止装置E",$V20=1),LOOKUP($I20,$AN$105:$AQ$105,$AN115:$AQ115),IF(AND($U20="逆流防止装置K",$V20=1),LOOKUP($I20,$AN$105:$AQ$105,$AN116:$AQ116),IF(AND($U20="逆流防止装置T",$V20=1),LOOKUP($I20,$AN$105:$AQ$105,$AN117:$AQ117),0))))</f>
        <v>0</v>
      </c>
      <c r="AA20" s="40"/>
      <c r="AB20" s="84">
        <f ca="1">N20+T20+Z19+Z20+Z21</f>
        <v>0</v>
      </c>
      <c r="AC20" s="89">
        <f ca="1">IF(U20="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20" s="90">
        <f ca="1">IF($U20="仕切弁",LOOKUP($I20,◆入力◆④「1個放水」計算!$AL$4:$AX$4,◆入力◆④「1個放水」計算!$AL$9:$AX$9),IF($U20="逆止弁",LOOKUP($I20,◆入力◆④「1個放水」計算!$AL$4:$AX$4,◆入力◆④「1個放水」計算!$AL$10:$AX$10),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E20" s="90">
        <f ca="1">IF($U20="仕切弁",LOOKUP($I20,◆入力◆④「1個放水」計算!$AL$15:$AX$15,◆入力◆④「1個放水」計算!$AL$20:$AX$20),IF($U20="逆止弁",LOOKUP($I20,◆入力◆④「1個放水」計算!$AL$15:$AX$15,◆入力◆④「1個放水」計算!$AL$21:$AX$21),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F20" s="90">
        <f ca="1">IF($U20="仕切弁",LOOKUP($I20,◆入力◆④「1個放水」計算!$AL$26:$AX$26,◆入力◆④「1個放水」計算!$AL$31:$AX$31),IF($U20="逆止弁",LOOKUP($I20,◆入力◆④「1個放水」計算!$AL$26:$AX$26,◆入力◆④「1個放水」計算!$AL$32:$AX$32),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G20" s="90">
        <f ca="1">IF($U20="仕切弁",LOOKUP($I20,◆入力◆④「1個放水」計算!$AL$37:$AX$37,◆入力◆④「1個放水」計算!$AL$42:$AX$42),IF($U20="逆止弁",LOOKUP($I20,◆入力◆④「1個放水」計算!$AL$37:$AX$37,◆入力◆④「1個放水」計算!$AL$43:$AX$43),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H20" s="90">
        <f ca="1">IF($U20="仕切弁",LOOKUP($I20,◆入力◆④「1個放水」計算!$AL$48:$AX$48,◆入力◆④「1個放水」計算!$AL$53:$AX$53),IF($U20="逆止弁",LOOKUP($I20,◆入力◆④「1個放水」計算!$AL$48:$AX$48,◆入力◆④「1個放水」計算!$AL$54:$AX$54),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I20" s="90">
        <f ca="1">IF($U20="仕切弁",LOOKUP($I20,◆入力◆④「1個放水」計算!$AL$59:$AX$59,◆入力◆④「1個放水」計算!$AL$65:$AX$65),IF($U20="逆止弁",LOOKUP($I20,◆入力◆④「1個放水」計算!$AL$59:$AX$59,◆入力◆④「1個放水」計算!$AL$66:$AX$66),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J20" s="115"/>
      <c r="AL20" s="40"/>
      <c r="AM20" s="40"/>
      <c r="BB20" s="50"/>
    </row>
    <row r="21" spans="6:54" x14ac:dyDescent="0.15">
      <c r="F21" s="235"/>
      <c r="G21" s="40"/>
      <c r="H21" s="149"/>
      <c r="I21" s="146" t="b">
        <f ca="1">IF(I20="",0,IF(I19="SGP-VB",LOOKUP(I20,◆入力◆④「1個放水」計算!$AL$4:$AX$4,◆入力◆④「1個放水」計算!$AL$5:$AX$5),IF(I19="SGP-PB",LOOKUP(I20,◆入力◆④「1個放水」計算!$AL$15:$AX$15,◆入力◆④「1個放水」計算!$AL$16:$AX$16),IF(I19="HIVP",LOOKUP(I20,◆入力◆④「1個放水」計算!$AL$26:$AX$26,◆入力◆④「1個放水」計算!$AL$27:$AX$27),IF(OR(I19="SGP",I19="フレキ"),LOOKUP(I20,◆入力◆④「1個放水」計算!$AL$37:$AX$37,◆入力◆④「1個放水」計算!$AL$38:$AX$38),IF(I19="SUS",LOOKUP(I20,◆入力◆④「1個放水」計算!$AL$48:$AX$48,◆入力◆④「1個放水」計算!$AL$49:$AX$49),IF(OR(I19="PE",I19="PP"),LOOKUP(I20,◆入力◆④「1個放水」計算!$AL$59:$AX$59,◆入力◆④「1個放水」計算!$AL$60:$AX$60))))))))</f>
        <v>0</v>
      </c>
      <c r="J21" s="121"/>
      <c r="K21" s="150"/>
      <c r="L21" s="98"/>
      <c r="M21" s="151"/>
      <c r="N21" s="93"/>
      <c r="O21" s="87">
        <f ca="1">IF(I20=0,0,"Ｔ分")</f>
        <v>0</v>
      </c>
      <c r="P21" s="152">
        <f ca="1">IF($F$55=0,0,OFFSET(◆入力◆④「1個放水」計算!P21,$F$55-$F$56,0,1,1))</f>
        <v>0</v>
      </c>
      <c r="Q21" s="88">
        <f ca="1">IF(I20=0,0,IF(I19="SGP-VB",LOOKUP(I20,◆入力◆④「1個放水」計算!$AL$4:$AX$4,◆入力◆④「1個放水」計算!$AL$8:$AX$8),IF(I19="SGP-PB",LOOKUP(I20,◆入力◆④「1個放水」計算!$AL$15:$AX$15,◆入力◆④「1個放水」計算!$AL$19:$AX$19),IF(I19="HIVP",LOOKUP(I20,◆入力◆④「1個放水」計算!$AL$26:$AX$26,◆入力◆④「1個放水」計算!$AL$30:$AX$30),IF(OR(I19="SGP",I19="フレキ"),LOOKUP(I20,◆入力◆④「1個放水」計算!$AL$37:$AX$37,◆入力◆④「1個放水」計算!$AL$41:$AX$41),IF(I19="SUS",LOOKUP(I20,◆入力◆④「1個放水」計算!$AL$48:$AX$48,◆入力◆④「1個放水」計算!$AL$52:$AX$52),IF(OR(I19="PE",I19="PP"),LOOKUP(I20,◆入力◆④「1個放水」計算!$AL$59:$AX$59,◆入力◆④「1個放水」計算!$AL$64:$AX$64))))))))</f>
        <v>0</v>
      </c>
      <c r="R21" s="100">
        <f t="shared" ca="1" si="0"/>
        <v>0</v>
      </c>
      <c r="S21" s="101"/>
      <c r="T21" s="92"/>
      <c r="U21" s="147">
        <f ca="1">IF($F$55=0,0,OFFSET(◆入力◆④「1個放水」計算!U21,$F$55-$F$56,0,1,1))</f>
        <v>0</v>
      </c>
      <c r="V21" s="152">
        <f ca="1">IF($F$55=0,0,OFFSET(◆入力◆④「1個放水」計算!V21,$F$55-$F$56,0,1,1))</f>
        <v>0</v>
      </c>
      <c r="W21" s="100">
        <f ca="1">IF($U21="Yスト",AC21,IF($I19="sgp-vb",AD21,IF($I19="sgp-pb",AE21,IF($I19="hivp",AF21,IF(OR($I19="sgp",$I19="フレキ"),AG21,IF($I19="sus",AH21,IF(OR($I19="PE",$I19="PP"),AI21,0)))))))</f>
        <v>0</v>
      </c>
      <c r="X21" s="100">
        <f t="shared" ca="1" si="1"/>
        <v>0</v>
      </c>
      <c r="Y21" s="101"/>
      <c r="Z21" s="92">
        <f t="shared" ref="Z21" ca="1" si="10">ROUNDUP(L20*Y20,2)</f>
        <v>0</v>
      </c>
      <c r="AA21" s="40"/>
      <c r="AB21" s="76"/>
      <c r="AC21" s="90">
        <f ca="1">IF(U21="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21" s="90">
        <f ca="1">IF($U21="仕切弁",LOOKUP($I20,◆入力◆④「1個放水」計算!$AL$4:$AX$4,◆入力◆④「1個放水」計算!$AL$9:$AX$9),IF($U21="逆止弁",LOOKUP($I20,◆入力◆④「1個放水」計算!$AL$4:$AX$4,◆入力◆④「1個放水」計算!$AL$10:$AX$10),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E21" s="90">
        <f ca="1">IF($U21="仕切弁",LOOKUP($I20,◆入力◆④「1個放水」計算!$AL$15:$AX$15,◆入力◆④「1個放水」計算!$AL$20:$AX$20),IF($U21="逆止弁",LOOKUP($I20,◆入力◆④「1個放水」計算!$AL$15:$AX$15,◆入力◆④「1個放水」計算!$AL$21:$AX$21),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F21" s="90">
        <f ca="1">IF($U21="仕切弁",LOOKUP($I20,◆入力◆④「1個放水」計算!$AL$26:$AX$26,◆入力◆④「1個放水」計算!$AL$31:$AX$31),IF($U21="逆止弁",LOOKUP($I20,◆入力◆④「1個放水」計算!$AL$26:$AX$26,◆入力◆④「1個放水」計算!$AL$32:$AX$32),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G21" s="90">
        <f ca="1">IF($U21="仕切弁",LOOKUP($I20,◆入力◆④「1個放水」計算!$AL$37:$AX$37,◆入力◆④「1個放水」計算!$AL$42:$AX$42),IF($U21="逆止弁",LOOKUP($I20,◆入力◆④「1個放水」計算!$AL$37:$AX$37,◆入力◆④「1個放水」計算!$AL$43:$AX$43),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H21" s="90">
        <f ca="1">IF($U21="仕切弁",LOOKUP($I20,◆入力◆④「1個放水」計算!$AL$48:$AX$48,◆入力◆④「1個放水」計算!$AL$53:$AX$53),IF($U21="逆止弁",LOOKUP($I20,◆入力◆④「1個放水」計算!$AL$48:$AX$48,◆入力◆④「1個放水」計算!$AL$54:$AX$54),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I21" s="90">
        <f ca="1">IF($U21="仕切弁",LOOKUP($I20,◆入力◆④「1個放水」計算!$AL$59:$AX$59,◆入力◆④「1個放水」計算!$AL$65:$AX$65),IF($U21="逆止弁",LOOKUP($I20,◆入力◆④「1個放水」計算!$AL$59:$AX$59,◆入力◆④「1個放水」計算!$AL$66:$AX$66),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J21" s="115"/>
      <c r="AL21" s="40"/>
      <c r="AM21" s="40"/>
      <c r="BB21" s="50"/>
    </row>
    <row r="22" spans="6:54" x14ac:dyDescent="0.15">
      <c r="F22" s="235" t="s">
        <v>25</v>
      </c>
      <c r="G22" s="40"/>
      <c r="H22" s="132"/>
      <c r="I22" s="133">
        <f ca="1">IF(I19=0,0,OFFSET(◆入力◆④「1個放水」計算!I22,$F$55-$F$56,0,1,1))</f>
        <v>0</v>
      </c>
      <c r="J22" s="121"/>
      <c r="K22" s="134"/>
      <c r="L22" s="74"/>
      <c r="M22" s="142"/>
      <c r="N22" s="76"/>
      <c r="O22" s="77">
        <f ca="1">IF(I23=0,0,"E９０°")</f>
        <v>0</v>
      </c>
      <c r="P22" s="136">
        <f ca="1">IF($F$55=0,0,OFFSET(◆入力◆④「1個放水」計算!P22,$F$55-$F$56,0,1,1))</f>
        <v>0</v>
      </c>
      <c r="Q22" s="78">
        <f ca="1">IF(I23=0,0,IF(I22="SGP-VB",LOOKUP(I23,◆入力◆④「1個放水」計算!$AL$4:$AX$4,◆入力◆④「1個放水」計算!$AL$6:$AX$6),IF(I22="SGP-PB",LOOKUP(I23,◆入力◆④「1個放水」計算!$AL$15:$AX$15,◆入力◆④「1個放水」計算!$AL$17:$AX$17),IF(I22="HIVP",LOOKUP(I23,◆入力◆④「1個放水」計算!$AL$26:$AX$26,◆入力◆④「1個放水」計算!$AL$28:$AX$28),IF(OR(I22="SGP",I22="フレキ"),LOOKUP(I23,◆入力◆④「1個放水」計算!$AL$37:$AX$37,◆入力◆④「1個放水」計算!$AL$39:$AX$39),IF(I22="SUS",LOOKUP(I23,◆入力◆④「1個放水」計算!$AL$48:$AX$48,◆入力◆④「1個放水」計算!$AL$50:$AX$50),IF(OR(I22="PE",I22="PP"),LOOKUP(I23,◆入力◆④「1個放水」計算!$AL$59:$AX$59,◆入力◆④「1個放水」計算!$AL$61:$AX$61))))))))</f>
        <v>0</v>
      </c>
      <c r="R22" s="79">
        <f t="shared" ca="1" si="0"/>
        <v>0</v>
      </c>
      <c r="S22" s="80"/>
      <c r="T22" s="81">
        <v>0</v>
      </c>
      <c r="U22" s="137">
        <f ca="1">IF($F$55=0,0,OFFSET(◆入力◆④「1個放水」計算!U22,$F$55-$F$56,0,1,1))</f>
        <v>0</v>
      </c>
      <c r="V22" s="138">
        <f ca="1">IF($F$55=0,0,OFFSET(◆入力◆④「1個放水」計算!V22,$F$55-$F$56,0,1,1))</f>
        <v>0</v>
      </c>
      <c r="W22" s="82">
        <f ca="1">IF($U22="Yスト",AC22,IF($I22="sgp-vb",AD22,IF($I22="sgp-pb",AE22,IF($I22="hivp",AF22,IF(OR($I22="sgp",$I22="フレキ"),AG22,IF($I22="sus",AH22,IF(OR($I22="PE",$I22="PP"),AI22,0)))))))</f>
        <v>0</v>
      </c>
      <c r="X22" s="82">
        <f t="shared" ca="1" si="1"/>
        <v>0</v>
      </c>
      <c r="Y22" s="83"/>
      <c r="Z22" s="84">
        <f t="shared" ref="Z22" ca="1" si="11">IF(AND($U22="電動弁",$V22=1),LOOKUP($K23,$AL$76:$BQ$76,$AL$77:$BQ$77),IF(AND($U22="逆流防止装置E",$V22=1),LOOKUP($I23,$AN$105:$AQ$105,$AN118:$AQ118),IF(AND($U22="逆流防止装置K",$V22=1),LOOKUP($I23,$AN$105:$AQ$105,$AN119:$AQ119),IF(AND($U22="逆流防止装置T",$V22=1),LOOKUP($I23,$AN$105:$AQ$105,$AN120:$AQ120),0))))</f>
        <v>0</v>
      </c>
      <c r="AA22" s="40"/>
      <c r="AB22" s="85"/>
      <c r="AC22" s="86">
        <f ca="1">IF(U22="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2" s="86">
        <f ca="1">IF($U22="仕切弁",LOOKUP($I23,◆入力◆④「1個放水」計算!$AL$4:$AX$4,◆入力◆④「1個放水」計算!$AL$9:$AX$9),IF($U22="逆止弁",LOOKUP($I23,◆入力◆④「1個放水」計算!$AL$4:$AX$4,◆入力◆④「1個放水」計算!$AL$10:$AX$10),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E22" s="86">
        <f ca="1">IF($U22="仕切弁",LOOKUP($I23,◆入力◆④「1個放水」計算!$AL$15:$AX$15,◆入力◆④「1個放水」計算!$AL$20:$AX$20),IF($U22="逆止弁",LOOKUP($I23,◆入力◆④「1個放水」計算!$AL$15:$AX$15,◆入力◆④「1個放水」計算!$AL$21:$AX$21),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F22" s="86">
        <f ca="1">IF($U22="仕切弁",LOOKUP($I23,◆入力◆④「1個放水」計算!$AL$26:$AX$26,◆入力◆④「1個放水」計算!$AL$31:$AX$31),IF($U22="逆止弁",LOOKUP($I23,◆入力◆④「1個放水」計算!$AL$26:$AX$26,◆入力◆④「1個放水」計算!$AL$32:$AX$32),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G22" s="86">
        <f ca="1">IF($U22="仕切弁",LOOKUP($I23,◆入力◆④「1個放水」計算!$AL$37:$AX$37,◆入力◆④「1個放水」計算!$AL$42:$AX$42),IF($U22="逆止弁",LOOKUP($I23,◆入力◆④「1個放水」計算!$AL$37:$AX$37,◆入力◆④「1個放水」計算!$AL$43:$AX$43),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H22" s="86">
        <f ca="1">IF($U22="仕切弁",LOOKUP($I23,◆入力◆④「1個放水」計算!$AL$48:$AX$48,◆入力◆④「1個放水」計算!$AL$53:$AX$53),IF($U22="逆止弁",LOOKUP($I23,◆入力◆④「1個放水」計算!$AL$48:$AX$48,◆入力◆④「1個放水」計算!$AL$54:$AX$54),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I22" s="86">
        <f ca="1">IF($U22="仕切弁",LOOKUP($I23,◆入力◆④「1個放水」計算!$AL$59:$AX$59,◆入力◆④「1個放水」計算!$AL$65:$AX$65),IF($U22="逆止弁",LOOKUP($I23,◆入力◆④「1個放水」計算!$AL$59:$AX$59,◆入力◆④「1個放水」計算!$AL$66:$AX$66),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J22" s="115"/>
      <c r="AL22" s="40"/>
      <c r="AM22" s="40"/>
      <c r="BB22" s="50"/>
    </row>
    <row r="23" spans="6:54" x14ac:dyDescent="0.15">
      <c r="F23" s="235"/>
      <c r="G23" s="40"/>
      <c r="H23" s="149">
        <f ca="1">IF($F$55=0,0,IF(H20=◆入力◆④「1個放水」計算!$H$41,0,OFFSET(◆入力◆④「1個放水」計算!H23,$F$55-$F$56,0,1,1)))</f>
        <v>0</v>
      </c>
      <c r="I23" s="140">
        <f ca="1">IF(I20=0,0,OFFSET(◆入力◆④「1個放水」計算!I23,$F$55-$F$56,0,1,1))</f>
        <v>0</v>
      </c>
      <c r="J23" s="121"/>
      <c r="K23" s="134">
        <f ca="1">IF(I23=0,0,K20)</f>
        <v>0</v>
      </c>
      <c r="L23" s="74">
        <f ca="1">IF(I23=0,0,IF(I23&gt;=65,K23^1.85*0.012/I24^4.87,ROUNDUP((0.0126+(0.01739-(0.1087*I24/100))/SQRT(4*K23/(60000*PI()*(I24/100)^2)))*(1/(I24/100))*((4*K23/(60000*PI()*(I24/100)^2))^2/(2*9.8)),4)))</f>
        <v>0</v>
      </c>
      <c r="M23" s="142">
        <f ca="1">IF($F$55=0,0,OFFSET(◆入力◆④「1個放水」計算!M23,$F$55-$F$56,0,1,1))</f>
        <v>0</v>
      </c>
      <c r="N23" s="84">
        <f ca="1">ROUNDUP(L23*M23,2)</f>
        <v>0</v>
      </c>
      <c r="O23" s="87">
        <f ca="1">IF(I23=0,0,"Ｔ直")</f>
        <v>0</v>
      </c>
      <c r="P23" s="138">
        <f ca="1">IF($F$55=0,0,OFFSET(◆入力◆④「1個放水」計算!P23,$F$55-$F$56,0,1,1))</f>
        <v>0</v>
      </c>
      <c r="Q23" s="88">
        <f ca="1">IF(I23=0,0,IF(I22="SGP-VB",LOOKUP(I23,◆入力◆④「1個放水」計算!$AL$4:$AX$4,◆入力◆④「1個放水」計算!$AL$7:$AX$7),IF(I22="SGP-PB",LOOKUP(I23,◆入力◆④「1個放水」計算!$AL$15:$AX$15,◆入力◆④「1個放水」計算!$AL$18:$AX$18),IF(I22="HIVP",LOOKUP(I23,◆入力◆④「1個放水」計算!$AL$26:$AX$26,◆入力◆④「1個放水」計算!$AL$29:$AX$29),IF(OR(I22="SGP",I22="フレキ"),LOOKUP(I23,◆入力◆④「1個放水」計算!$AL$37:$AX$37,◆入力◆④「1個放水」計算!$AL$40:$AX$40),IF(I22="SUS",LOOKUP(I23,◆入力◆④「1個放水」計算!$AL$48:$AX$48,◆入力◆④「1個放水」計算!$AL$51:$AX$51),IF(OR(I22="PE",I22="PP"),LOOKUP(I23,◆入力◆④「1個放水」計算!$AL$59:$AX$59,◆入力◆④「1個放水」計算!$AL$63:$AX$63))))))))</f>
        <v>0</v>
      </c>
      <c r="R23" s="82">
        <f t="shared" ca="1" si="0"/>
        <v>0</v>
      </c>
      <c r="S23" s="83">
        <f ca="1">R22+R23+R24</f>
        <v>0</v>
      </c>
      <c r="T23" s="84">
        <f ca="1">ROUNDUP(L23*S23,2)</f>
        <v>0</v>
      </c>
      <c r="U23" s="143">
        <f ca="1">IF($F$55=0,0,OFFSET(◆入力◆④「1個放水」計算!U23,$F$55-$F$56,0,1,1))</f>
        <v>0</v>
      </c>
      <c r="V23" s="138">
        <f ca="1">IF($F$55=0,0,OFFSET(◆入力◆④「1個放水」計算!V23,$F$55-$F$56,0,1,1))</f>
        <v>0</v>
      </c>
      <c r="W23" s="82">
        <f ca="1">IF($U23="Yスト",AC23,IF($I22="sgp-vb",AD23,IF($I22="sgp-pb",AE23,IF($I22="hivp",AF23,IF(OR($I22="sgp",$I22="フレキ"),AG23,IF($I22="sus",AH23,IF(OR($I22="PE",$I22="PP"),AI23,0)))))))</f>
        <v>0</v>
      </c>
      <c r="X23" s="82">
        <f t="shared" ca="1" si="1"/>
        <v>0</v>
      </c>
      <c r="Y23" s="83">
        <f ca="1">SUM(X22:X24)</f>
        <v>0</v>
      </c>
      <c r="Z23" s="84">
        <f t="shared" ref="Z23" ca="1" si="12">IF(AND($U23="電動弁",$V23=1),LOOKUP($K23,$AL$76:$BQ$76,$AL$77:$BQ$77),IF(AND($U23="逆流防止装置E",$V23=1),LOOKUP($I23,$AN$105:$AQ$105,$AN118:$AQ118),IF(AND($U23="逆流防止装置K",$V23=1),LOOKUP($I23,$AN$105:$AQ$105,$AN119:$AQ119),IF(AND($U23="逆流防止装置T",$V23=1),LOOKUP($I23,$AN$105:$AQ$105,$AN120:$AQ120),0))))</f>
        <v>0</v>
      </c>
      <c r="AA23" s="40"/>
      <c r="AB23" s="84">
        <f ca="1">N23+T23+Z22+Z23+Z24</f>
        <v>0</v>
      </c>
      <c r="AC23" s="89">
        <f ca="1">IF(U23="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3" s="90">
        <f ca="1">IF($U23="仕切弁",LOOKUP($I23,◆入力◆④「1個放水」計算!$AL$4:$AX$4,◆入力◆④「1個放水」計算!$AL$9:$AX$9),IF($U23="逆止弁",LOOKUP($I23,◆入力◆④「1個放水」計算!$AL$4:$AX$4,◆入力◆④「1個放水」計算!$AL$10:$AX$10),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E23" s="90">
        <f ca="1">IF($U23="仕切弁",LOOKUP($I23,◆入力◆④「1個放水」計算!$AL$15:$AX$15,◆入力◆④「1個放水」計算!$AL$20:$AX$20),IF($U23="逆止弁",LOOKUP($I23,◆入力◆④「1個放水」計算!$AL$15:$AX$15,◆入力◆④「1個放水」計算!$AL$21:$AX$21),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F23" s="90">
        <f ca="1">IF($U23="仕切弁",LOOKUP($I23,◆入力◆④「1個放水」計算!$AL$26:$AX$26,◆入力◆④「1個放水」計算!$AL$31:$AX$31),IF($U23="逆止弁",LOOKUP($I23,◆入力◆④「1個放水」計算!$AL$26:$AX$26,◆入力◆④「1個放水」計算!$AL$32:$AX$32),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G23" s="90">
        <f ca="1">IF($U23="仕切弁",LOOKUP($I23,◆入力◆④「1個放水」計算!$AL$37:$AX$37,◆入力◆④「1個放水」計算!$AL$42:$AX$42),IF($U23="逆止弁",LOOKUP($I23,◆入力◆④「1個放水」計算!$AL$37:$AX$37,◆入力◆④「1個放水」計算!$AL$43:$AX$43),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H23" s="90">
        <f ca="1">IF($U23="仕切弁",LOOKUP($I23,◆入力◆④「1個放水」計算!$AL$48:$AX$48,◆入力◆④「1個放水」計算!$AL$53:$AX$53),IF($U23="逆止弁",LOOKUP($I23,◆入力◆④「1個放水」計算!$AL$48:$AX$48,◆入力◆④「1個放水」計算!$AL$54:$AX$54),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I23" s="90">
        <f ca="1">IF($U23="仕切弁",LOOKUP($I23,◆入力◆④「1個放水」計算!$AL$59:$AX$59,◆入力◆④「1個放水」計算!$AL$65:$AX$65),IF($U23="逆止弁",LOOKUP($I23,◆入力◆④「1個放水」計算!$AL$59:$AX$59,◆入力◆④「1個放水」計算!$AL$66:$AX$66),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J23" s="144"/>
      <c r="AL23" s="40"/>
      <c r="AM23" s="40"/>
      <c r="BB23" s="50"/>
    </row>
    <row r="24" spans="6:54" x14ac:dyDescent="0.15">
      <c r="F24" s="235"/>
      <c r="G24" s="40"/>
      <c r="H24" s="145"/>
      <c r="I24" s="146" t="b">
        <f ca="1">IF(I23="",0,IF(I22="SGP-VB",LOOKUP(I23,◆入力◆④「1個放水」計算!$AL$4:$AX$4,◆入力◆④「1個放水」計算!$AL$5:$AX$5),IF(I22="SGP-PB",LOOKUP(I23,◆入力◆④「1個放水」計算!$AL$15:$AX$15,◆入力◆④「1個放水」計算!$AL$16:$AX$16),IF(I22="HIVP",LOOKUP(I23,◆入力◆④「1個放水」計算!$AL$26:$AX$26,◆入力◆④「1個放水」計算!$AL$27:$AX$27),IF(OR(I22="SGP",I22="フレキ"),LOOKUP(I23,◆入力◆④「1個放水」計算!$AL$37:$AX$37,◆入力◆④「1個放水」計算!$AL$38:$AX$38),IF(I22="SUS",LOOKUP(I23,◆入力◆④「1個放水」計算!$AL$48:$AX$48,◆入力◆④「1個放水」計算!$AL$49:$AX$49),IF(OR(I22="PE",I22="PP"),LOOKUP(I23,◆入力◆④「1個放水」計算!$AL$59:$AX$59,◆入力◆④「1個放水」計算!$AL$60:$AX$60))))))))</f>
        <v>0</v>
      </c>
      <c r="J24" s="121"/>
      <c r="K24" s="134"/>
      <c r="L24" s="74"/>
      <c r="M24" s="142"/>
      <c r="N24" s="76"/>
      <c r="O24" s="87">
        <f ca="1">IF(I23=0,0,"Ｔ分")</f>
        <v>0</v>
      </c>
      <c r="P24" s="152">
        <f ca="1">IF($F$55=0,0,OFFSET(◆入力◆④「1個放水」計算!P24,$F$55-$F$56,0,1,1))</f>
        <v>0</v>
      </c>
      <c r="Q24" s="88">
        <f ca="1">IF(I23=0,0,IF(I22="SGP-VB",LOOKUP(I23,◆入力◆④「1個放水」計算!$AL$4:$AX$4,◆入力◆④「1個放水」計算!$AL$8:$AX$8),IF(I22="SGP-PB",LOOKUP(I23,◆入力◆④「1個放水」計算!$AL$15:$AX$15,◆入力◆④「1個放水」計算!$AL$19:$AX$19),IF(I22="HIVP",LOOKUP(I23,◆入力◆④「1個放水」計算!$AL$26:$AX$26,◆入力◆④「1個放水」計算!$AL$30:$AX$30),IF(OR(I22="SGP",I22="フレキ"),LOOKUP(I23,◆入力◆④「1個放水」計算!$AL$37:$AX$37,◆入力◆④「1個放水」計算!$AL$41:$AX$41),IF(I22="SUS",LOOKUP(I23,◆入力◆④「1個放水」計算!$AL$48:$AX$48,◆入力◆④「1個放水」計算!$AL$52:$AX$52),IF(OR(I22="PE",I22="PP"),LOOKUP(I23,◆入力◆④「1個放水」計算!$AL$59:$AX$59,◆入力◆④「1個放水」計算!$AL$64:$AX$64))))))))</f>
        <v>0</v>
      </c>
      <c r="R24" s="100">
        <f t="shared" ca="1" si="0"/>
        <v>0</v>
      </c>
      <c r="S24" s="101"/>
      <c r="T24" s="92"/>
      <c r="U24" s="147">
        <f ca="1">IF($F$55=0,0,OFFSET(◆入力◆④「1個放水」計算!U24,$F$55-$F$56,0,1,1))</f>
        <v>0</v>
      </c>
      <c r="V24" s="138">
        <f ca="1">IF($F$55=0,0,OFFSET(◆入力◆④「1個放水」計算!V24,$F$55-$F$56,0,1,1))</f>
        <v>0</v>
      </c>
      <c r="W24" s="100">
        <f ca="1">IF($U24="Yスト",AC24,IF($I22="sgp-vb",AD24,IF($I22="sgp-pb",AE24,IF($I22="hivp",AF24,IF(OR($I22="sgp",$I22="フレキ"),AG24,IF($I22="sus",AH24,IF(OR($I22="PE",$I22="PP"),AI24,0)))))))</f>
        <v>0</v>
      </c>
      <c r="X24" s="82">
        <f t="shared" ca="1" si="1"/>
        <v>0</v>
      </c>
      <c r="Y24" s="83"/>
      <c r="Z24" s="92">
        <f t="shared" ref="Z24" ca="1" si="13">ROUNDUP(L23*Y23,2)</f>
        <v>0</v>
      </c>
      <c r="AA24" s="40"/>
      <c r="AB24" s="93"/>
      <c r="AC24" s="90">
        <f ca="1">IF(U24="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4" s="90">
        <f ca="1">IF($U24="仕切弁",LOOKUP($I23,◆入力◆④「1個放水」計算!$AL$4:$AX$4,◆入力◆④「1個放水」計算!$AL$9:$AX$9),IF($U24="逆止弁",LOOKUP($I23,◆入力◆④「1個放水」計算!$AL$4:$AX$4,◆入力◆④「1個放水」計算!$AL$10:$AX$10),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E24" s="90">
        <f ca="1">IF($U24="仕切弁",LOOKUP($I23,◆入力◆④「1個放水」計算!$AL$15:$AX$15,◆入力◆④「1個放水」計算!$AL$20:$AX$20),IF($U24="逆止弁",LOOKUP($I23,◆入力◆④「1個放水」計算!$AL$15:$AX$15,◆入力◆④「1個放水」計算!$AL$21:$AX$21),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F24" s="90">
        <f ca="1">IF($U24="仕切弁",LOOKUP($I23,◆入力◆④「1個放水」計算!$AL$26:$AX$26,◆入力◆④「1個放水」計算!$AL$31:$AX$31),IF($U24="逆止弁",LOOKUP($I23,◆入力◆④「1個放水」計算!$AL$26:$AX$26,◆入力◆④「1個放水」計算!$AL$32:$AX$32),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G24" s="90">
        <f ca="1">IF($U24="仕切弁",LOOKUP($I23,◆入力◆④「1個放水」計算!$AL$37:$AX$37,◆入力◆④「1個放水」計算!$AL$42:$AX$42),IF($U24="逆止弁",LOOKUP($I23,◆入力◆④「1個放水」計算!$AL$37:$AX$37,◆入力◆④「1個放水」計算!$AL$43:$AX$43),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H24" s="90">
        <f ca="1">IF($U24="仕切弁",LOOKUP($I23,◆入力◆④「1個放水」計算!$AL$48:$AX$48,◆入力◆④「1個放水」計算!$AL$53:$AX$53),IF($U24="逆止弁",LOOKUP($I23,◆入力◆④「1個放水」計算!$AL$48:$AX$48,◆入力◆④「1個放水」計算!$AL$54:$AX$54),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I24" s="90">
        <f ca="1">IF($U24="仕切弁",LOOKUP($I23,◆入力◆④「1個放水」計算!$AL$59:$AX$59,◆入力◆④「1個放水」計算!$AL$65:$AX$65),IF($U24="逆止弁",LOOKUP($I23,◆入力◆④「1個放水」計算!$AL$59:$AX$59,◆入力◆④「1個放水」計算!$AL$66:$AX$66),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J24" s="144"/>
      <c r="AL24" s="40"/>
      <c r="AM24" s="40"/>
      <c r="BB24" s="50"/>
    </row>
    <row r="25" spans="6:54" x14ac:dyDescent="0.15">
      <c r="F25" s="235" t="s">
        <v>26</v>
      </c>
      <c r="G25" s="40"/>
      <c r="H25" s="154"/>
      <c r="I25" s="133">
        <f ca="1">IF(I22=0,0,OFFSET(◆入力◆④「1個放水」計算!I25,$F$55-$F$56,0,1,1))</f>
        <v>0</v>
      </c>
      <c r="J25" s="121"/>
      <c r="K25" s="148"/>
      <c r="L25" s="95"/>
      <c r="M25" s="135"/>
      <c r="N25" s="85"/>
      <c r="O25" s="77">
        <f ca="1">IF(I26=0,0,"E９０°")</f>
        <v>0</v>
      </c>
      <c r="P25" s="136">
        <f ca="1">IF($F$55=0,0,OFFSET(◆入力◆④「1個放水」計算!P25,$F$55-$F$56,0,1,1))</f>
        <v>0</v>
      </c>
      <c r="Q25" s="78">
        <f ca="1">IF(I26=0,0,IF(I25="SGP-VB",LOOKUP(I26,◆入力◆④「1個放水」計算!$AL$4:$AX$4,◆入力◆④「1個放水」計算!$AL$6:$AX$6),IF(I25="SGP-PB",LOOKUP(I26,◆入力◆④「1個放水」計算!$AL$15:$AX$15,◆入力◆④「1個放水」計算!$AL$17:$AX$17),IF(I25="HIVP",LOOKUP(I26,◆入力◆④「1個放水」計算!$AL$26:$AX$26,◆入力◆④「1個放水」計算!$AL$28:$AX$28),IF(OR(I25="SGP",I25="フレキ"),LOOKUP(I26,◆入力◆④「1個放水」計算!$AL$37:$AX$37,◆入力◆④「1個放水」計算!$AL$39:$AX$39),IF(I25="SUS",LOOKUP(I26,◆入力◆④「1個放水」計算!$AL$48:$AX$48,◆入力◆④「1個放水」計算!$AL$50:$AX$50),IF(OR(I25="PE",I25="PP"),LOOKUP(I26,◆入力◆④「1個放水」計算!$AL$59:$AX$59,◆入力◆④「1個放水」計算!$AL$61:$AX$61))))))))</f>
        <v>0</v>
      </c>
      <c r="R25" s="79">
        <f t="shared" ca="1" si="0"/>
        <v>0</v>
      </c>
      <c r="S25" s="80"/>
      <c r="T25" s="81">
        <v>0</v>
      </c>
      <c r="U25" s="137">
        <f ca="1">IF($F$55=0,0,OFFSET(◆入力◆④「1個放水」計算!U25,$F$55-$F$56,0,1,1))</f>
        <v>0</v>
      </c>
      <c r="V25" s="136">
        <f ca="1">IF($F$55=0,0,OFFSET(◆入力◆④「1個放水」計算!V25,$F$55-$F$56,0,1,1))</f>
        <v>0</v>
      </c>
      <c r="W25" s="82">
        <f ca="1">IF($U25="Yスト",AC25,IF($I25="sgp-vb",AD25,IF($I25="sgp-pb",AE25,IF($I25="hivp",AF25,IF(OR($I25="sgp",$I25="フレキ"),AG25,IF($I25="sus",AH25,IF(OR($I25="PE",$I25="PP"),AI25,0)))))))</f>
        <v>0</v>
      </c>
      <c r="X25" s="79">
        <f t="shared" ca="1" si="1"/>
        <v>0</v>
      </c>
      <c r="Y25" s="80"/>
      <c r="Z25" s="84">
        <f t="shared" ref="Z25" ca="1" si="14">IF(AND($U25="電動弁",$V25=1),LOOKUP($K26,$AL$76:$BQ$76,$AL$77:$BQ$77),IF(AND($U25="逆流防止装置E",$V25=1),LOOKUP($I26,$AN$105:$AQ$105,$AN121:$AQ121),IF(AND($U25="逆流防止装置K",$V25=1),LOOKUP($I26,$AN$105:$AQ$105,$AN122:$AQ122),IF(AND($U25="逆流防止装置T",$V25=1),LOOKUP($I26,$AN$105:$AQ$105,$AN123:$AQ123),0))))</f>
        <v>0</v>
      </c>
      <c r="AA25" s="40"/>
      <c r="AB25" s="76"/>
      <c r="AC25" s="86">
        <f ca="1">IF(U25="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5" s="86">
        <f ca="1">IF($U25="仕切弁",LOOKUP($I26,◆入力◆④「1個放水」計算!$AL$4:$AX$4,◆入力◆④「1個放水」計算!$AL$9:$AX$9),IF($U25="逆止弁",LOOKUP($I26,◆入力◆④「1個放水」計算!$AL$4:$AX$4,◆入力◆④「1個放水」計算!$AL$10:$AX$10),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E25" s="86">
        <f ca="1">IF($U25="仕切弁",LOOKUP($I26,◆入力◆④「1個放水」計算!$AL$15:$AX$15,◆入力◆④「1個放水」計算!$AL$20:$AX$20),IF($U25="逆止弁",LOOKUP($I26,◆入力◆④「1個放水」計算!$AL$15:$AX$15,◆入力◆④「1個放水」計算!$AL$21:$AX$21),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F25" s="86">
        <f ca="1">IF($U25="仕切弁",LOOKUP($I26,◆入力◆④「1個放水」計算!$AL$26:$AX$26,◆入力◆④「1個放水」計算!$AL$31:$AX$31),IF($U25="逆止弁",LOOKUP($I26,◆入力◆④「1個放水」計算!$AL$26:$AX$26,◆入力◆④「1個放水」計算!$AL$32:$AX$32),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G25" s="86">
        <f ca="1">IF($U25="仕切弁",LOOKUP($I26,◆入力◆④「1個放水」計算!$AL$37:$AX$37,◆入力◆④「1個放水」計算!$AL$42:$AX$42),IF($U25="逆止弁",LOOKUP($I26,◆入力◆④「1個放水」計算!$AL$37:$AX$37,◆入力◆④「1個放水」計算!$AL$43:$AX$43),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H25" s="86">
        <f ca="1">IF($U25="仕切弁",LOOKUP($I26,◆入力◆④「1個放水」計算!$AL$48:$AX$48,◆入力◆④「1個放水」計算!$AL$53:$AX$53),IF($U25="逆止弁",LOOKUP($I26,◆入力◆④「1個放水」計算!$AL$48:$AX$48,◆入力◆④「1個放水」計算!$AL$54:$AX$54),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I25" s="86">
        <f ca="1">IF($U25="仕切弁",LOOKUP($I26,◆入力◆④「1個放水」計算!$AL$59:$AX$59,◆入力◆④「1個放水」計算!$AL$65:$AX$65),IF($U25="逆止弁",LOOKUP($I26,◆入力◆④「1個放水」計算!$AL$59:$AX$59,◆入力◆④「1個放水」計算!$AL$66:$AX$66),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J25" s="144"/>
      <c r="AL25" s="40"/>
      <c r="AM25" s="40"/>
      <c r="BB25" s="50"/>
    </row>
    <row r="26" spans="6:54" x14ac:dyDescent="0.15">
      <c r="F26" s="235"/>
      <c r="G26" s="40"/>
      <c r="H26" s="149">
        <f ca="1">IF($F$55=0,0,IF(H23=◆入力◆④「1個放水」計算!$H$41,0,OFFSET(◆入力◆④「1個放水」計算!H26,$F$55-$F$56,0,1,1)))</f>
        <v>0</v>
      </c>
      <c r="I26" s="140">
        <f ca="1">IF(I23=0,0,OFFSET(◆入力◆④「1個放水」計算!I26,$F$55-$F$56,0,1,1))</f>
        <v>0</v>
      </c>
      <c r="J26" s="121"/>
      <c r="K26" s="134">
        <f ca="1">IF(I26=0,0,K23)</f>
        <v>0</v>
      </c>
      <c r="L26" s="74">
        <f ca="1">IF(I26=0,0,IF(I26&gt;=65,K26^1.85*0.012/I27^4.87,ROUNDUP((0.0126+(0.01739-(0.1087*I27/100))/SQRT(4*K26/(60000*PI()*(I27/100)^2)))*(1/(I27/100))*((4*K26/(60000*PI()*(I27/100)^2))^2/(2*9.8)),4)))</f>
        <v>0</v>
      </c>
      <c r="M26" s="142">
        <f ca="1">IF($F$55=0,0,OFFSET(◆入力◆④「1個放水」計算!M26,$F$55-$F$56,0,1,1))</f>
        <v>0</v>
      </c>
      <c r="N26" s="84">
        <f ca="1">ROUNDUP(L26*M26,2)</f>
        <v>0</v>
      </c>
      <c r="O26" s="87">
        <f ca="1">IF(I26=0,0,"Ｔ直")</f>
        <v>0</v>
      </c>
      <c r="P26" s="138">
        <f ca="1">IF($F$55=0,0,OFFSET(◆入力◆④「1個放水」計算!P26,$F$55-$F$56,0,1,1))</f>
        <v>0</v>
      </c>
      <c r="Q26" s="88">
        <f ca="1">IF(I26=0,0,IF(I25="SGP-VB",LOOKUP(I26,◆入力◆④「1個放水」計算!$AL$4:$AX$4,◆入力◆④「1個放水」計算!$AL$7:$AX$7),IF(I25="SGP-PB",LOOKUP(I26,◆入力◆④「1個放水」計算!$AL$15:$AX$15,◆入力◆④「1個放水」計算!$AL$18:$AX$18),IF(I25="HIVP",LOOKUP(I26,◆入力◆④「1個放水」計算!$AL$26:$AX$26,◆入力◆④「1個放水」計算!$AL$29:$AX$29),IF(OR(I25="SGP",I25="フレキ"),LOOKUP(I26,◆入力◆④「1個放水」計算!$AL$37:$AX$37,◆入力◆④「1個放水」計算!$AL$40:$AX$40),IF(I25="SUS",LOOKUP(I26,◆入力◆④「1個放水」計算!$AL$48:$AX$48,◆入力◆④「1個放水」計算!$AL$51:$AX$51),IF(OR(I25="PE",I25="PP"),LOOKUP(I26,◆入力◆④「1個放水」計算!$AL$59:$AX$59,◆入力◆④「1個放水」計算!$AL$63:$AX$63))))))))</f>
        <v>0</v>
      </c>
      <c r="R26" s="82">
        <f t="shared" ca="1" si="0"/>
        <v>0</v>
      </c>
      <c r="S26" s="83">
        <f ca="1">R25+R26+R27</f>
        <v>0</v>
      </c>
      <c r="T26" s="84">
        <f ca="1">ROUNDUP(L26*S26,2)</f>
        <v>0</v>
      </c>
      <c r="U26" s="143">
        <f ca="1">IF($F$55=0,0,OFFSET(◆入力◆④「1個放水」計算!U26,$F$55-$F$56,0,1,1))</f>
        <v>0</v>
      </c>
      <c r="V26" s="138">
        <f ca="1">IF($F$55=0,0,OFFSET(◆入力◆④「1個放水」計算!V26,$F$55-$F$56,0,1,1))</f>
        <v>0</v>
      </c>
      <c r="W26" s="82">
        <f ca="1">IF($U26="Yスト",AC26,IF($I25="sgp-vb",AD26,IF($I25="sgp-pb",AE26,IF($I25="hivp",AF26,IF(OR($I25="sgp",$I25="フレキ"),AG26,IF($I25="sus",AH26,IF(OR($I25="PE",$I25="PP"),AI26,0)))))))</f>
        <v>0</v>
      </c>
      <c r="X26" s="82">
        <f t="shared" ca="1" si="1"/>
        <v>0</v>
      </c>
      <c r="Y26" s="83">
        <f ca="1">SUM(X25:X27)</f>
        <v>0</v>
      </c>
      <c r="Z26" s="84">
        <f t="shared" ref="Z26" ca="1" si="15">IF(AND($U26="電動弁",$V26=1),LOOKUP($K26,$AL$76:$BQ$76,$AL$77:$BQ$77),IF(AND($U26="逆流防止装置E",$V26=1),LOOKUP($I26,$AN$105:$AQ$105,$AN121:$AQ121),IF(AND($U26="逆流防止装置K",$V26=1),LOOKUP($I26,$AN$105:$AQ$105,$AN122:$AQ122),IF(AND($U26="逆流防止装置T",$V26=1),LOOKUP($I26,$AN$105:$AQ$105,$AN123:$AQ123),0))))</f>
        <v>0</v>
      </c>
      <c r="AA26" s="40"/>
      <c r="AB26" s="84">
        <f ca="1">N26+T26+Z25+Z26+Z27</f>
        <v>0</v>
      </c>
      <c r="AC26" s="89">
        <f ca="1">IF(U26="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6" s="90">
        <f ca="1">IF($U26="仕切弁",LOOKUP($I26,◆入力◆④「1個放水」計算!$AL$4:$AX$4,◆入力◆④「1個放水」計算!$AL$9:$AX$9),IF($U26="逆止弁",LOOKUP($I26,◆入力◆④「1個放水」計算!$AL$4:$AX$4,◆入力◆④「1個放水」計算!$AL$10:$AX$10),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E26" s="90">
        <f ca="1">IF($U26="仕切弁",LOOKUP($I26,◆入力◆④「1個放水」計算!$AL$15:$AX$15,◆入力◆④「1個放水」計算!$AL$20:$AX$20),IF($U26="逆止弁",LOOKUP($I26,◆入力◆④「1個放水」計算!$AL$15:$AX$15,◆入力◆④「1個放水」計算!$AL$21:$AX$21),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F26" s="90">
        <f ca="1">IF($U26="仕切弁",LOOKUP($I26,◆入力◆④「1個放水」計算!$AL$26:$AX$26,◆入力◆④「1個放水」計算!$AL$31:$AX$31),IF($U26="逆止弁",LOOKUP($I26,◆入力◆④「1個放水」計算!$AL$26:$AX$26,◆入力◆④「1個放水」計算!$AL$32:$AX$32),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G26" s="90">
        <f ca="1">IF($U26="仕切弁",LOOKUP($I26,◆入力◆④「1個放水」計算!$AL$37:$AX$37,◆入力◆④「1個放水」計算!$AL$42:$AX$42),IF($U26="逆止弁",LOOKUP($I26,◆入力◆④「1個放水」計算!$AL$37:$AX$37,◆入力◆④「1個放水」計算!$AL$43:$AX$43),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H26" s="90">
        <f ca="1">IF($U26="仕切弁",LOOKUP($I26,◆入力◆④「1個放水」計算!$AL$48:$AX$48,◆入力◆④「1個放水」計算!$AL$53:$AX$53),IF($U26="逆止弁",LOOKUP($I26,◆入力◆④「1個放水」計算!$AL$48:$AX$48,◆入力◆④「1個放水」計算!$AL$54:$AX$54),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I26" s="90">
        <f ca="1">IF($U26="仕切弁",LOOKUP($I26,◆入力◆④「1個放水」計算!$AL$59:$AX$59,◆入力◆④「1個放水」計算!$AL$65:$AX$65),IF($U26="逆止弁",LOOKUP($I26,◆入力◆④「1個放水」計算!$AL$59:$AX$59,◆入力◆④「1個放水」計算!$AL$66:$AX$66),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J26" s="144"/>
      <c r="AL26" s="40"/>
      <c r="AM26" s="40"/>
      <c r="BB26" s="50"/>
    </row>
    <row r="27" spans="6:54" x14ac:dyDescent="0.15">
      <c r="F27" s="235"/>
      <c r="G27" s="40"/>
      <c r="H27" s="149"/>
      <c r="I27" s="146" t="b">
        <f ca="1">IF(I26="",0,IF(I25="SGP-VB",LOOKUP(I26,◆入力◆④「1個放水」計算!$AL$4:$AX$4,◆入力◆④「1個放水」計算!$AL$5:$AX$5),IF(I25="SGP-PB",LOOKUP(I26,◆入力◆④「1個放水」計算!$AL$15:$AX$15,◆入力◆④「1個放水」計算!$AL$16:$AX$16),IF(I25="HIVP",LOOKUP(I26,◆入力◆④「1個放水」計算!$AL$26:$AX$26,◆入力◆④「1個放水」計算!$AL$27:$AX$27),IF(OR(I25="SGP",I25="フレキ"),LOOKUP(I26,◆入力◆④「1個放水」計算!$AL$37:$AX$37,◆入力◆④「1個放水」計算!$AL$38:$AX$38),IF(I25="SUS",LOOKUP(I26,◆入力◆④「1個放水」計算!$AL$48:$AX$48,◆入力◆④「1個放水」計算!$AL$49:$AX$49),IF(OR(I25="PE",I25="PP"),LOOKUP(I26,◆入力◆④「1個放水」計算!$AL$59:$AX$59,◆入力◆④「1個放水」計算!$AL$60:$AX$60))))))))</f>
        <v>0</v>
      </c>
      <c r="J27" s="121"/>
      <c r="K27" s="150"/>
      <c r="L27" s="98"/>
      <c r="M27" s="151"/>
      <c r="N27" s="93"/>
      <c r="O27" s="87">
        <f ca="1">IF(I26=0,0,"Ｔ分")</f>
        <v>0</v>
      </c>
      <c r="P27" s="152">
        <f ca="1">IF($F$55=0,0,OFFSET(◆入力◆④「1個放水」計算!P27,$F$55-$F$56,0,1,1))</f>
        <v>0</v>
      </c>
      <c r="Q27" s="88">
        <f ca="1">IF(I26=0,0,IF(I25="SGP-VB",LOOKUP(I26,◆入力◆④「1個放水」計算!$AL$4:$AX$4,◆入力◆④「1個放水」計算!$AL$8:$AX$8),IF(I25="SGP-PB",LOOKUP(I26,◆入力◆④「1個放水」計算!$AL$15:$AX$15,◆入力◆④「1個放水」計算!$AL$19:$AX$19),IF(I25="HIVP",LOOKUP(I26,◆入力◆④「1個放水」計算!$AL$26:$AX$26,◆入力◆④「1個放水」計算!$AL$30:$AX$30),IF(OR(I25="SGP",I25="フレキ"),LOOKUP(I26,◆入力◆④「1個放水」計算!$AL$37:$AX$37,◆入力◆④「1個放水」計算!$AL$41:$AX$41),IF(I25="SUS",LOOKUP(I26,◆入力◆④「1個放水」計算!$AL$48:$AX$48,◆入力◆④「1個放水」計算!$AL$52:$AX$52),IF(OR(I25="PE",I25="PP"),LOOKUP(I26,◆入力◆④「1個放水」計算!$AL$59:$AX$59,◆入力◆④「1個放水」計算!$AL$64:$AX$64))))))))</f>
        <v>0</v>
      </c>
      <c r="R27" s="100">
        <f t="shared" ca="1" si="0"/>
        <v>0</v>
      </c>
      <c r="S27" s="101"/>
      <c r="T27" s="92"/>
      <c r="U27" s="147">
        <f ca="1">IF($F$55=0,0,OFFSET(◆入力◆④「1個放水」計算!U27,$F$55-$F$56,0,1,1))</f>
        <v>0</v>
      </c>
      <c r="V27" s="152">
        <f ca="1">IF($F$55=0,0,OFFSET(◆入力◆④「1個放水」計算!V27,$F$55-$F$56,0,1,1))</f>
        <v>0</v>
      </c>
      <c r="W27" s="100">
        <f ca="1">IF($U27="Yスト",AC27,IF($I25="sgp-vb",AD27,IF($I25="sgp-pb",AE27,IF($I25="hivp",AF27,IF(OR($I25="sgp",$I25="フレキ"),AG27,IF($I25="sus",AH27,IF(OR($I25="PE",$I25="PP"),AI27,0)))))))</f>
        <v>0</v>
      </c>
      <c r="X27" s="100">
        <f t="shared" ca="1" si="1"/>
        <v>0</v>
      </c>
      <c r="Y27" s="101"/>
      <c r="Z27" s="92">
        <f t="shared" ref="Z27" ca="1" si="16">ROUNDUP(L26*Y26,2)</f>
        <v>0</v>
      </c>
      <c r="AA27" s="40"/>
      <c r="AB27" s="76"/>
      <c r="AC27" s="90">
        <f ca="1">IF(U27="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7" s="90">
        <f ca="1">IF($U27="仕切弁",LOOKUP($I26,◆入力◆④「1個放水」計算!$AL$4:$AX$4,◆入力◆④「1個放水」計算!$AL$9:$AX$9),IF($U27="逆止弁",LOOKUP($I26,◆入力◆④「1個放水」計算!$AL$4:$AX$4,◆入力◆④「1個放水」計算!$AL$10:$AX$10),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E27" s="90">
        <f ca="1">IF($U27="仕切弁",LOOKUP($I26,◆入力◆④「1個放水」計算!$AL$15:$AX$15,◆入力◆④「1個放水」計算!$AL$20:$AX$20),IF($U27="逆止弁",LOOKUP($I26,◆入力◆④「1個放水」計算!$AL$15:$AX$15,◆入力◆④「1個放水」計算!$AL$21:$AX$21),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F27" s="90">
        <f ca="1">IF($U27="仕切弁",LOOKUP($I26,◆入力◆④「1個放水」計算!$AL$26:$AX$26,◆入力◆④「1個放水」計算!$AL$31:$AX$31),IF($U27="逆止弁",LOOKUP($I26,◆入力◆④「1個放水」計算!$AL$26:$AX$26,◆入力◆④「1個放水」計算!$AL$32:$AX$32),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G27" s="90">
        <f ca="1">IF($U27="仕切弁",LOOKUP($I26,◆入力◆④「1個放水」計算!$AL$37:$AX$37,◆入力◆④「1個放水」計算!$AL$42:$AX$42),IF($U27="逆止弁",LOOKUP($I26,◆入力◆④「1個放水」計算!$AL$37:$AX$37,◆入力◆④「1個放水」計算!$AL$43:$AX$43),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H27" s="90">
        <f ca="1">IF($U27="仕切弁",LOOKUP($I26,◆入力◆④「1個放水」計算!$AL$48:$AX$48,◆入力◆④「1個放水」計算!$AL$53:$AX$53),IF($U27="逆止弁",LOOKUP($I26,◆入力◆④「1個放水」計算!$AL$48:$AX$48,◆入力◆④「1個放水」計算!$AL$54:$AX$54),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I27" s="90">
        <f ca="1">IF($U27="仕切弁",LOOKUP($I26,◆入力◆④「1個放水」計算!$AL$59:$AX$59,◆入力◆④「1個放水」計算!$AL$65:$AX$65),IF($U27="逆止弁",LOOKUP($I26,◆入力◆④「1個放水」計算!$AL$59:$AX$59,◆入力◆④「1個放水」計算!$AL$66:$AX$66),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J27" s="144"/>
      <c r="AL27" s="40"/>
      <c r="AM27" s="40"/>
      <c r="BB27" s="50"/>
    </row>
    <row r="28" spans="6:54" x14ac:dyDescent="0.15">
      <c r="F28" s="235" t="s">
        <v>27</v>
      </c>
      <c r="G28" s="40"/>
      <c r="H28" s="132"/>
      <c r="I28" s="133">
        <f ca="1">IF(I25=0,0,OFFSET(◆入力◆④「1個放水」計算!I28,$F$55-$F$56,0,1,1))</f>
        <v>0</v>
      </c>
      <c r="J28" s="121"/>
      <c r="K28" s="134"/>
      <c r="L28" s="74"/>
      <c r="M28" s="142"/>
      <c r="N28" s="76"/>
      <c r="O28" s="77">
        <f ca="1">IF(I29=0,0,"E９０°")</f>
        <v>0</v>
      </c>
      <c r="P28" s="136">
        <f ca="1">IF($F$55=0,0,OFFSET(◆入力◆④「1個放水」計算!P28,$F$55-$F$56,0,1,1))</f>
        <v>0</v>
      </c>
      <c r="Q28" s="78">
        <f ca="1">IF(I29=0,0,IF(I28="SGP-VB",LOOKUP(I29,◆入力◆④「1個放水」計算!$AL$4:$AX$4,◆入力◆④「1個放水」計算!$AL$6:$AX$6),IF(I28="SGP-PB",LOOKUP(I29,◆入力◆④「1個放水」計算!$AL$15:$AX$15,◆入力◆④「1個放水」計算!$AL$17:$AX$17),IF(I28="HIVP",LOOKUP(I29,◆入力◆④「1個放水」計算!$AL$26:$AX$26,◆入力◆④「1個放水」計算!$AL$28:$AX$28),IF(OR(I28="SGP",I28="フレキ"),LOOKUP(I29,◆入力◆④「1個放水」計算!$AL$37:$AX$37,◆入力◆④「1個放水」計算!$AL$39:$AX$39),IF(I28="SUS",LOOKUP(I29,◆入力◆④「1個放水」計算!$AL$48:$AX$48,◆入力◆④「1個放水」計算!$AL$50:$AX$50),IF(OR(I28="PE",I28="PP"),LOOKUP(I29,◆入力◆④「1個放水」計算!$AL$59:$AX$59,◆入力◆④「1個放水」計算!$AL$61:$AX$61))))))))</f>
        <v>0</v>
      </c>
      <c r="R28" s="79">
        <f t="shared" ca="1" si="0"/>
        <v>0</v>
      </c>
      <c r="S28" s="80"/>
      <c r="T28" s="81">
        <v>0</v>
      </c>
      <c r="U28" s="137">
        <f ca="1">IF($F$55=0,0,OFFSET(◆入力◆④「1個放水」計算!U28,$F$55-$F$56,0,1,1))</f>
        <v>0</v>
      </c>
      <c r="V28" s="138">
        <f ca="1">IF($F$55=0,0,OFFSET(◆入力◆④「1個放水」計算!V28,$F$55-$F$56,0,1,1))</f>
        <v>0</v>
      </c>
      <c r="W28" s="82">
        <f ca="1">IF($U28="Yスト",AC28,IF($I28="sgp-vb",AD28,IF($I28="sgp-pb",AE28,IF($I28="hivp",AF28,IF(OR($I28="sgp",$I28="フレキ"),AG28,IF($I28="sus",AH28,IF(OR($I28="PE",$I28="PP"),AI28,0)))))))</f>
        <v>0</v>
      </c>
      <c r="X28" s="82">
        <f t="shared" ca="1" si="1"/>
        <v>0</v>
      </c>
      <c r="Y28" s="83"/>
      <c r="Z28" s="84">
        <f t="shared" ref="Z28" ca="1" si="17">IF(AND($U28="電動弁",$V28=1),LOOKUP($K29,$AL$76:$BQ$76,$AL$77:$BQ$77),IF(AND($U28="逆流防止装置E",$V28=1),LOOKUP($I29,$AN$105:$AQ$105,$AN124:$AQ124),IF(AND($U28="逆流防止装置K",$V28=1),LOOKUP($I29,$AN$105:$AQ$105,$AN125:$AQ125),IF(AND($U28="逆流防止装置T",$V28=1),LOOKUP($I29,$AN$105:$AQ$105,$AN126:$AQ126),0))))</f>
        <v>0</v>
      </c>
      <c r="AA28" s="40"/>
      <c r="AB28" s="85"/>
      <c r="AC28" s="86">
        <f ca="1">IF(U28="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28" s="86">
        <f ca="1">IF($U28="仕切弁",LOOKUP($I29,◆入力◆④「1個放水」計算!$AL$4:$AX$4,◆入力◆④「1個放水」計算!$AL$9:$AX$9),IF($U28="逆止弁",LOOKUP($I29,◆入力◆④「1個放水」計算!$AL$4:$AX$4,◆入力◆④「1個放水」計算!$AL$10:$AX$10),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E28" s="86">
        <f ca="1">IF($U28="仕切弁",LOOKUP($I29,◆入力◆④「1個放水」計算!$AL$15:$AX$15,◆入力◆④「1個放水」計算!$AL$20:$AX$20),IF($U28="逆止弁",LOOKUP($I29,◆入力◆④「1個放水」計算!$AL$15:$AX$15,◆入力◆④「1個放水」計算!$AL$21:$AX$21),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F28" s="86">
        <f ca="1">IF($U28="仕切弁",LOOKUP($I29,◆入力◆④「1個放水」計算!$AL$26:$AX$26,◆入力◆④「1個放水」計算!$AL$31:$AX$31),IF($U28="逆止弁",LOOKUP($I29,◆入力◆④「1個放水」計算!$AL$26:$AX$26,◆入力◆④「1個放水」計算!$AL$32:$AX$32),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G28" s="86">
        <f ca="1">IF($U28="仕切弁",LOOKUP($I29,◆入力◆④「1個放水」計算!$AL$37:$AX$37,◆入力◆④「1個放水」計算!$AL$42:$AX$42),IF($U28="逆止弁",LOOKUP($I29,◆入力◆④「1個放水」計算!$AL$37:$AX$37,◆入力◆④「1個放水」計算!$AL$43:$AX$43),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H28" s="86">
        <f ca="1">IF($U28="仕切弁",LOOKUP($I29,◆入力◆④「1個放水」計算!$AL$48:$AX$48,◆入力◆④「1個放水」計算!$AL$53:$AX$53),IF($U28="逆止弁",LOOKUP($I29,◆入力◆④「1個放水」計算!$AL$48:$AX$48,◆入力◆④「1個放水」計算!$AL$54:$AX$54),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I28" s="86">
        <f ca="1">IF($U28="仕切弁",LOOKUP($I29,◆入力◆④「1個放水」計算!$AL$59:$AX$59,◆入力◆④「1個放水」計算!$AL$65:$AX$65),IF($U28="逆止弁",LOOKUP($I29,◆入力◆④「1個放水」計算!$AL$59:$AX$59,◆入力◆④「1個放水」計算!$AL$66:$AX$66),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J28" s="144"/>
      <c r="AL28" s="40"/>
      <c r="AM28" s="40"/>
      <c r="BB28" s="50"/>
    </row>
    <row r="29" spans="6:54" x14ac:dyDescent="0.15">
      <c r="F29" s="235"/>
      <c r="G29" s="40"/>
      <c r="H29" s="149">
        <f ca="1">IF($F$55=0,0,IF(H26=◆入力◆④「1個放水」計算!$H$41,0,OFFSET(◆入力◆④「1個放水」計算!H29,$F$55-$F$56,0,1,1)))</f>
        <v>0</v>
      </c>
      <c r="I29" s="140">
        <f ca="1">IF(I26=0,0,OFFSET(◆入力◆④「1個放水」計算!I29,$F$55-$F$56,0,1,1))</f>
        <v>0</v>
      </c>
      <c r="J29" s="121"/>
      <c r="K29" s="134">
        <f ca="1">IF(I29=0,0,K26)</f>
        <v>0</v>
      </c>
      <c r="L29" s="74">
        <f ca="1">IF(I29=0,0,IF(I29&gt;=65,K29^1.85*0.012/I30^4.87,ROUNDUP((0.0126+(0.01739-(0.1087*I30/100))/SQRT(4*K29/(60000*PI()*(I30/100)^2)))*(1/(I30/100))*((4*K29/(60000*PI()*(I30/100)^2))^2/(2*9.8)),4)))</f>
        <v>0</v>
      </c>
      <c r="M29" s="142">
        <f ca="1">IF($F$55=0,0,OFFSET(◆入力◆④「1個放水」計算!M29,$F$55-$F$56,0,1,1))</f>
        <v>0</v>
      </c>
      <c r="N29" s="84">
        <f ca="1">ROUNDUP(L29*M29,2)</f>
        <v>0</v>
      </c>
      <c r="O29" s="87">
        <f ca="1">IF(I29=0,0,"Ｔ直")</f>
        <v>0</v>
      </c>
      <c r="P29" s="138">
        <f ca="1">IF($F$55=0,0,OFFSET(◆入力◆④「1個放水」計算!P29,$F$55-$F$56,0,1,1))</f>
        <v>0</v>
      </c>
      <c r="Q29" s="88">
        <f ca="1">IF(I29=0,0,IF(I28="SGP-VB",LOOKUP(I29,◆入力◆④「1個放水」計算!$AL$4:$AX$4,◆入力◆④「1個放水」計算!$AL$7:$AX$7),IF(I28="SGP-PB",LOOKUP(I29,◆入力◆④「1個放水」計算!$AL$15:$AX$15,◆入力◆④「1個放水」計算!$AL$18:$AX$18),IF(I28="HIVP",LOOKUP(I29,◆入力◆④「1個放水」計算!$AL$26:$AX$26,◆入力◆④「1個放水」計算!$AL$29:$AX$29),IF(OR(I28="SGP",I28="フレキ"),LOOKUP(I29,◆入力◆④「1個放水」計算!$AL$37:$AX$37,◆入力◆④「1個放水」計算!$AL$40:$AX$40),IF(I28="SUS",LOOKUP(I29,◆入力◆④「1個放水」計算!$AL$48:$AX$48,◆入力◆④「1個放水」計算!$AL$51:$AX$51),IF(OR(I28="PE",I28="PP"),LOOKUP(I29,◆入力◆④「1個放水」計算!$AL$59:$AX$59,◆入力◆④「1個放水」計算!$AL$63:$AX$63))))))))</f>
        <v>0</v>
      </c>
      <c r="R29" s="82">
        <f t="shared" ca="1" si="0"/>
        <v>0</v>
      </c>
      <c r="S29" s="83">
        <f ca="1">R28+R29+R30</f>
        <v>0</v>
      </c>
      <c r="T29" s="84">
        <f ca="1">ROUNDUP(L29*S29,2)</f>
        <v>0</v>
      </c>
      <c r="U29" s="143">
        <f ca="1">IF($F$55=0,0,OFFSET(◆入力◆④「1個放水」計算!U29,$F$55-$F$56,0,1,1))</f>
        <v>0</v>
      </c>
      <c r="V29" s="138">
        <f ca="1">IF($F$55=0,0,OFFSET(◆入力◆④「1個放水」計算!V29,$F$55-$F$56,0,1,1))</f>
        <v>0</v>
      </c>
      <c r="W29" s="82">
        <f ca="1">IF($U29="Yスト",AC29,IF($I28="sgp-vb",AD29,IF($I28="sgp-pb",AE29,IF($I28="hivp",AF29,IF(OR($I28="sgp",$I28="フレキ"),AG29,IF($I28="sus",AH29,IF(OR($I28="PE",$I28="PP"),AI29,0)))))))</f>
        <v>0</v>
      </c>
      <c r="X29" s="82">
        <f t="shared" ca="1" si="1"/>
        <v>0</v>
      </c>
      <c r="Y29" s="83">
        <f ca="1">SUM(X28:X30)</f>
        <v>0</v>
      </c>
      <c r="Z29" s="84">
        <f t="shared" ref="Z29" ca="1" si="18">IF(AND($U29="電動弁",$V29=1),LOOKUP($K29,$AL$76:$BQ$76,$AL$77:$BQ$77),IF(AND($U29="逆流防止装置E",$V29=1),LOOKUP($I29,$AN$105:$AQ$105,$AN124:$AQ124),IF(AND($U29="逆流防止装置K",$V29=1),LOOKUP($I29,$AN$105:$AQ$105,$AN125:$AQ125),IF(AND($U29="逆流防止装置T",$V29=1),LOOKUP($I29,$AN$105:$AQ$105,$AN126:$AQ126),0))))</f>
        <v>0</v>
      </c>
      <c r="AA29" s="40"/>
      <c r="AB29" s="84">
        <f ca="1">N29+T29+Z28+Z29+Z30</f>
        <v>0</v>
      </c>
      <c r="AC29" s="89">
        <f ca="1">IF(U29="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29" s="90">
        <f ca="1">IF($U29="仕切弁",LOOKUP($I29,◆入力◆④「1個放水」計算!$AL$4:$AX$4,◆入力◆④「1個放水」計算!$AL$9:$AX$9),IF($U29="逆止弁",LOOKUP($I29,◆入力◆④「1個放水」計算!$AL$4:$AX$4,◆入力◆④「1個放水」計算!$AL$10:$AX$10),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E29" s="90">
        <f ca="1">IF($U29="仕切弁",LOOKUP($I29,◆入力◆④「1個放水」計算!$AL$15:$AX$15,◆入力◆④「1個放水」計算!$AL$20:$AX$20),IF($U29="逆止弁",LOOKUP($I29,◆入力◆④「1個放水」計算!$AL$15:$AX$15,◆入力◆④「1個放水」計算!$AL$21:$AX$21),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F29" s="90">
        <f ca="1">IF($U29="仕切弁",LOOKUP($I29,◆入力◆④「1個放水」計算!$AL$26:$AX$26,◆入力◆④「1個放水」計算!$AL$31:$AX$31),IF($U29="逆止弁",LOOKUP($I29,◆入力◆④「1個放水」計算!$AL$26:$AX$26,◆入力◆④「1個放水」計算!$AL$32:$AX$32),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G29" s="90">
        <f ca="1">IF($U29="仕切弁",LOOKUP($I29,◆入力◆④「1個放水」計算!$AL$37:$AX$37,◆入力◆④「1個放水」計算!$AL$42:$AX$42),IF($U29="逆止弁",LOOKUP($I29,◆入力◆④「1個放水」計算!$AL$37:$AX$37,◆入力◆④「1個放水」計算!$AL$43:$AX$43),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H29" s="90">
        <f ca="1">IF($U29="仕切弁",LOOKUP($I29,◆入力◆④「1個放水」計算!$AL$48:$AX$48,◆入力◆④「1個放水」計算!$AL$53:$AX$53),IF($U29="逆止弁",LOOKUP($I29,◆入力◆④「1個放水」計算!$AL$48:$AX$48,◆入力◆④「1個放水」計算!$AL$54:$AX$54),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I29" s="90">
        <f ca="1">IF($U29="仕切弁",LOOKUP($I29,◆入力◆④「1個放水」計算!$AL$59:$AX$59,◆入力◆④「1個放水」計算!$AL$65:$AX$65),IF($U29="逆止弁",LOOKUP($I29,◆入力◆④「1個放水」計算!$AL$59:$AX$59,◆入力◆④「1個放水」計算!$AL$66:$AX$66),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J29" s="144"/>
      <c r="AL29" s="40"/>
      <c r="AM29" s="40"/>
      <c r="BB29" s="50"/>
    </row>
    <row r="30" spans="6:54" x14ac:dyDescent="0.15">
      <c r="F30" s="235"/>
      <c r="G30" s="40"/>
      <c r="H30" s="145"/>
      <c r="I30" s="146" t="b">
        <f ca="1">IF(I29="",0,IF(I28="SGP-VB",LOOKUP(I29,◆入力◆④「1個放水」計算!$AL$4:$AX$4,◆入力◆④「1個放水」計算!$AL$5:$AX$5),IF(I28="SGP-PB",LOOKUP(I29,◆入力◆④「1個放水」計算!$AL$15:$AX$15,◆入力◆④「1個放水」計算!$AL$16:$AX$16),IF(I28="HIVP",LOOKUP(I29,◆入力◆④「1個放水」計算!$AL$26:$AX$26,◆入力◆④「1個放水」計算!$AL$27:$AX$27),IF(OR(I28="SGP",I28="フレキ"),LOOKUP(I29,◆入力◆④「1個放水」計算!$AL$37:$AX$37,◆入力◆④「1個放水」計算!$AL$38:$AX$38),IF(I28="SUS",LOOKUP(I29,◆入力◆④「1個放水」計算!$AL$48:$AX$48,◆入力◆④「1個放水」計算!$AL$49:$AX$49),IF(OR(I28="PE",I28="PP"),LOOKUP(I29,◆入力◆④「1個放水」計算!$AL$59:$AX$59,◆入力◆④「1個放水」計算!$AL$60:$AX$60))))))))</f>
        <v>0</v>
      </c>
      <c r="J30" s="121"/>
      <c r="K30" s="134"/>
      <c r="L30" s="74"/>
      <c r="M30" s="142"/>
      <c r="N30" s="76"/>
      <c r="O30" s="87">
        <f ca="1">IF(I29=0,0,"Ｔ分")</f>
        <v>0</v>
      </c>
      <c r="P30" s="152">
        <f ca="1">IF($F$55=0,0,OFFSET(◆入力◆④「1個放水」計算!P30,$F$55-$F$56,0,1,1))</f>
        <v>0</v>
      </c>
      <c r="Q30" s="88">
        <f ca="1">IF(I29=0,0,IF(I28="SGP-VB",LOOKUP(I29,◆入力◆④「1個放水」計算!$AL$4:$AX$4,◆入力◆④「1個放水」計算!$AL$8:$AX$8),IF(I28="SGP-PB",LOOKUP(I29,◆入力◆④「1個放水」計算!$AL$15:$AX$15,◆入力◆④「1個放水」計算!$AL$19:$AX$19),IF(I28="HIVP",LOOKUP(I29,◆入力◆④「1個放水」計算!$AL$26:$AX$26,◆入力◆④「1個放水」計算!$AL$30:$AX$30),IF(OR(I28="SGP",I28="フレキ"),LOOKUP(I29,◆入力◆④「1個放水」計算!$AL$37:$AX$37,◆入力◆④「1個放水」計算!$AL$41:$AX$41),IF(I28="SUS",LOOKUP(I29,◆入力◆④「1個放水」計算!$AL$48:$AX$48,◆入力◆④「1個放水」計算!$AL$52:$AX$52),IF(OR(I28="PE",I28="PP"),LOOKUP(I29,◆入力◆④「1個放水」計算!$AL$59:$AX$59,◆入力◆④「1個放水」計算!$AL$64:$AX$64))))))))</f>
        <v>0</v>
      </c>
      <c r="R30" s="100">
        <f t="shared" ca="1" si="0"/>
        <v>0</v>
      </c>
      <c r="S30" s="101"/>
      <c r="T30" s="92"/>
      <c r="U30" s="147">
        <f ca="1">IF($F$55=0,0,OFFSET(◆入力◆④「1個放水」計算!U30,$F$55-$F$56,0,1,1))</f>
        <v>0</v>
      </c>
      <c r="V30" s="138">
        <f ca="1">IF($F$55=0,0,OFFSET(◆入力◆④「1個放水」計算!V30,$F$55-$F$56,0,1,1))</f>
        <v>0</v>
      </c>
      <c r="W30" s="100">
        <f ca="1">IF($U30="Yスト",AC30,IF($I28="sgp-vb",AD30,IF($I28="sgp-pb",AE30,IF($I28="hivp",AF30,IF(OR($I28="sgp",$I28="フレキ"),AG30,IF($I28="sus",AH30,IF(OR($I28="PE",$I28="PP"),AI30,0)))))))</f>
        <v>0</v>
      </c>
      <c r="X30" s="82">
        <f t="shared" ca="1" si="1"/>
        <v>0</v>
      </c>
      <c r="Y30" s="83"/>
      <c r="Z30" s="92">
        <f t="shared" ref="Z30" ca="1" si="19">ROUNDUP(L29*Y29,2)</f>
        <v>0</v>
      </c>
      <c r="AA30" s="40"/>
      <c r="AB30" s="93"/>
      <c r="AC30" s="90">
        <f ca="1">IF(U30="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30" s="90">
        <f ca="1">IF($U30="仕切弁",LOOKUP($I29,◆入力◆④「1個放水」計算!$AL$4:$AX$4,◆入力◆④「1個放水」計算!$AL$9:$AX$9),IF($U30="逆止弁",LOOKUP($I29,◆入力◆④「1個放水」計算!$AL$4:$AX$4,◆入力◆④「1個放水」計算!$AL$10:$AX$10),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E30" s="90">
        <f ca="1">IF($U30="仕切弁",LOOKUP($I29,◆入力◆④「1個放水」計算!$AL$15:$AX$15,◆入力◆④「1個放水」計算!$AL$20:$AX$20),IF($U30="逆止弁",LOOKUP($I29,◆入力◆④「1個放水」計算!$AL$15:$AX$15,◆入力◆④「1個放水」計算!$AL$21:$AX$21),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F30" s="90">
        <f ca="1">IF($U30="仕切弁",LOOKUP($I29,◆入力◆④「1個放水」計算!$AL$26:$AX$26,◆入力◆④「1個放水」計算!$AL$31:$AX$31),IF($U30="逆止弁",LOOKUP($I29,◆入力◆④「1個放水」計算!$AL$26:$AX$26,◆入力◆④「1個放水」計算!$AL$32:$AX$32),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G30" s="90">
        <f ca="1">IF($U30="仕切弁",LOOKUP($I29,◆入力◆④「1個放水」計算!$AL$37:$AX$37,◆入力◆④「1個放水」計算!$AL$42:$AX$42),IF($U30="逆止弁",LOOKUP($I29,◆入力◆④「1個放水」計算!$AL$37:$AX$37,◆入力◆④「1個放水」計算!$AL$43:$AX$43),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H30" s="90">
        <f ca="1">IF($U30="仕切弁",LOOKUP($I29,◆入力◆④「1個放水」計算!$AL$48:$AX$48,◆入力◆④「1個放水」計算!$AL$53:$AX$53),IF($U30="逆止弁",LOOKUP($I29,◆入力◆④「1個放水」計算!$AL$48:$AX$48,◆入力◆④「1個放水」計算!$AL$54:$AX$54),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I30" s="90">
        <f ca="1">IF($U30="仕切弁",LOOKUP($I29,◆入力◆④「1個放水」計算!$AL$59:$AX$59,◆入力◆④「1個放水」計算!$AL$65:$AX$65),IF($U30="逆止弁",LOOKUP($I29,◆入力◆④「1個放水」計算!$AL$59:$AX$59,◆入力◆④「1個放水」計算!$AL$66:$AX$66),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J30" s="144"/>
      <c r="AL30" s="40"/>
      <c r="AM30" s="40"/>
      <c r="BB30" s="50"/>
    </row>
    <row r="31" spans="6:54" x14ac:dyDescent="0.15">
      <c r="F31" s="235" t="s">
        <v>28</v>
      </c>
      <c r="G31" s="40"/>
      <c r="H31" s="154"/>
      <c r="I31" s="133">
        <f ca="1">IF(I28=0,0,OFFSET(◆入力◆④「1個放水」計算!I31,$F$55-$F$56,0,1,1))</f>
        <v>0</v>
      </c>
      <c r="J31" s="121"/>
      <c r="K31" s="148"/>
      <c r="L31" s="95"/>
      <c r="M31" s="135"/>
      <c r="N31" s="85"/>
      <c r="O31" s="77">
        <f ca="1">IF(I32=0,0,"E９０°")</f>
        <v>0</v>
      </c>
      <c r="P31" s="136">
        <f ca="1">IF($F$55=0,0,OFFSET(◆入力◆④「1個放水」計算!P31,$F$55-$F$56,0,1,1))</f>
        <v>0</v>
      </c>
      <c r="Q31" s="78">
        <f ca="1">IF(I32=0,0,IF(I31="SGP-VB",LOOKUP(I32,◆入力◆④「1個放水」計算!$AL$4:$AX$4,◆入力◆④「1個放水」計算!$AL$6:$AX$6),IF(I31="SGP-PB",LOOKUP(I32,◆入力◆④「1個放水」計算!$AL$15:$AX$15,◆入力◆④「1個放水」計算!$AL$17:$AX$17),IF(I31="HIVP",LOOKUP(I32,◆入力◆④「1個放水」計算!$AL$26:$AX$26,◆入力◆④「1個放水」計算!$AL$28:$AX$28),IF(OR(I31="SGP",I31="フレキ"),LOOKUP(I32,◆入力◆④「1個放水」計算!$AL$37:$AX$37,◆入力◆④「1個放水」計算!$AL$39:$AX$39),IF(I31="SUS",LOOKUP(I32,◆入力◆④「1個放水」計算!$AL$48:$AX$48,◆入力◆④「1個放水」計算!$AL$50:$AX$50),IF(OR(I31="PE",I31="PP"),LOOKUP(I32,◆入力◆④「1個放水」計算!$AL$59:$AX$59,◆入力◆④「1個放水」計算!$AL$61:$AX$61))))))))</f>
        <v>0</v>
      </c>
      <c r="R31" s="79">
        <f t="shared" ca="1" si="0"/>
        <v>0</v>
      </c>
      <c r="S31" s="80"/>
      <c r="T31" s="81">
        <v>0</v>
      </c>
      <c r="U31" s="137">
        <f ca="1">IF($F$55=0,0,OFFSET(◆入力◆④「1個放水」計算!U31,$F$55-$F$56,0,1,1))</f>
        <v>0</v>
      </c>
      <c r="V31" s="136">
        <f ca="1">IF($F$55=0,0,OFFSET(◆入力◆④「1個放水」計算!V31,$F$55-$F$56,0,1,1))</f>
        <v>0</v>
      </c>
      <c r="W31" s="82">
        <f ca="1">IF($U31="Yスト",AC31,IF($I31="sgp-vb",AD31,IF($I31="sgp-pb",AE31,IF($I31="hivp",AF31,IF(OR($I31="sgp",$I31="フレキ"),AG31,IF($I31="sus",AH31,IF(OR($I31="PE",$I31="PP"),AI31,0)))))))</f>
        <v>0</v>
      </c>
      <c r="X31" s="79">
        <f t="shared" ca="1" si="1"/>
        <v>0</v>
      </c>
      <c r="Y31" s="80"/>
      <c r="Z31" s="84">
        <f t="shared" ref="Z31" ca="1" si="20">IF(AND($U31="電動弁",$V31=1),LOOKUP($K32,$AL$76:$BQ$76,$AL$77:$BQ$77),IF(AND($U31="逆流防止装置E",$V31=1),LOOKUP($I32,$AN$105:$AQ$105,$AN127:$AQ127),IF(AND($U31="逆流防止装置K",$V31=1),LOOKUP($I32,$AN$105:$AQ$105,$AN128:$AQ128),IF(AND($U31="逆流防止装置T",$V31=1),LOOKUP($I32,$AN$105:$AQ$105,$AN129:$AQ129),0))))</f>
        <v>0</v>
      </c>
      <c r="AA31" s="40"/>
      <c r="AB31" s="76"/>
      <c r="AC31" s="86">
        <f ca="1">IF(U31="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1" s="86">
        <f ca="1">IF($U31="仕切弁",LOOKUP($I32,◆入力◆④「1個放水」計算!$AL$4:$AX$4,◆入力◆④「1個放水」計算!$AL$9:$AX$9),IF($U31="逆止弁",LOOKUP($I32,◆入力◆④「1個放水」計算!$AL$4:$AX$4,◆入力◆④「1個放水」計算!$AL$10:$AX$10),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E31" s="86">
        <f ca="1">IF($U31="仕切弁",LOOKUP($I32,◆入力◆④「1個放水」計算!$AL$15:$AX$15,◆入力◆④「1個放水」計算!$AL$20:$AX$20),IF($U31="逆止弁",LOOKUP($I32,◆入力◆④「1個放水」計算!$AL$15:$AX$15,◆入力◆④「1個放水」計算!$AL$21:$AX$21),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F31" s="86">
        <f ca="1">IF($U31="仕切弁",LOOKUP($I32,◆入力◆④「1個放水」計算!$AL$26:$AX$26,◆入力◆④「1個放水」計算!$AL$31:$AX$31),IF($U31="逆止弁",LOOKUP($I32,◆入力◆④「1個放水」計算!$AL$26:$AX$26,◆入力◆④「1個放水」計算!$AL$32:$AX$32),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G31" s="86">
        <f ca="1">IF($U31="仕切弁",LOOKUP($I32,◆入力◆④「1個放水」計算!$AL$37:$AX$37,◆入力◆④「1個放水」計算!$AL$42:$AX$42),IF($U31="逆止弁",LOOKUP($I32,◆入力◆④「1個放水」計算!$AL$37:$AX$37,◆入力◆④「1個放水」計算!$AL$43:$AX$43),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H31" s="86">
        <f ca="1">IF($U31="仕切弁",LOOKUP($I32,◆入力◆④「1個放水」計算!$AL$48:$AX$48,◆入力◆④「1個放水」計算!$AL$53:$AX$53),IF($U31="逆止弁",LOOKUP($I32,◆入力◆④「1個放水」計算!$AL$48:$AX$48,◆入力◆④「1個放水」計算!$AL$54:$AX$54),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I31" s="86">
        <f ca="1">IF($U31="仕切弁",LOOKUP($I32,◆入力◆④「1個放水」計算!$AL$59:$AX$59,◆入力◆④「1個放水」計算!$AL$65:$AX$65),IF($U31="逆止弁",LOOKUP($I32,◆入力◆④「1個放水」計算!$AL$59:$AX$59,◆入力◆④「1個放水」計算!$AL$66:$AX$66),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J31" s="115"/>
      <c r="AL31" s="40"/>
      <c r="AM31" s="40"/>
      <c r="BB31" s="50"/>
    </row>
    <row r="32" spans="6:54" x14ac:dyDescent="0.15">
      <c r="F32" s="235"/>
      <c r="G32" s="40"/>
      <c r="H32" s="149">
        <f ca="1">IF($F$55=0,0,IF(H29=◆入力◆④「1個放水」計算!$H$41,0,OFFSET(◆入力◆④「1個放水」計算!H32,$F$55-$F$56,0,1,1)))</f>
        <v>0</v>
      </c>
      <c r="I32" s="140">
        <f ca="1">IF(I29=0,0,OFFSET(◆入力◆④「1個放水」計算!I32,$F$55-$F$56,0,1,1))</f>
        <v>0</v>
      </c>
      <c r="J32" s="121"/>
      <c r="K32" s="134">
        <f ca="1">IF(I32=0,0,K29)</f>
        <v>0</v>
      </c>
      <c r="L32" s="74">
        <f ca="1">IF(I32=0,0,IF(I32&gt;=65,K32^1.85*0.012/I33^4.87,ROUNDUP((0.0126+(0.01739-(0.1087*I33/100))/SQRT(4*K32/(60000*PI()*(I33/100)^2)))*(1/(I33/100))*((4*K32/(60000*PI()*(I33/100)^2))^2/(2*9.8)),4)))</f>
        <v>0</v>
      </c>
      <c r="M32" s="142">
        <f ca="1">IF($F$55=0,0,OFFSET(◆入力◆④「1個放水」計算!M32,$F$55-$F$56,0,1,1))</f>
        <v>0</v>
      </c>
      <c r="N32" s="84">
        <f ca="1">ROUNDUP(L32*M32,2)</f>
        <v>0</v>
      </c>
      <c r="O32" s="87">
        <f ca="1">IF(I32=0,0,"Ｔ直")</f>
        <v>0</v>
      </c>
      <c r="P32" s="138">
        <f ca="1">IF($F$55=0,0,OFFSET(◆入力◆④「1個放水」計算!P32,$F$55-$F$56,0,1,1))</f>
        <v>0</v>
      </c>
      <c r="Q32" s="88">
        <f ca="1">IF(I32=0,0,IF(I31="SGP-VB",LOOKUP(I32,◆入力◆④「1個放水」計算!$AL$4:$AX$4,◆入力◆④「1個放水」計算!$AL$7:$AX$7),IF(I31="SGP-PB",LOOKUP(I32,◆入力◆④「1個放水」計算!$AL$15:$AX$15,◆入力◆④「1個放水」計算!$AL$18:$AX$18),IF(I31="HIVP",LOOKUP(I32,◆入力◆④「1個放水」計算!$AL$26:$AX$26,◆入力◆④「1個放水」計算!$AL$29:$AX$29),IF(OR(I31="SGP",I31="フレキ"),LOOKUP(I32,◆入力◆④「1個放水」計算!$AL$37:$AX$37,◆入力◆④「1個放水」計算!$AL$40:$AX$40),IF(I31="SUS",LOOKUP(I32,◆入力◆④「1個放水」計算!$AL$48:$AX$48,◆入力◆④「1個放水」計算!$AL$51:$AX$51),IF(OR(I31="PE",I31="PP"),LOOKUP(I32,◆入力◆④「1個放水」計算!$AL$59:$AX$59,◆入力◆④「1個放水」計算!$AL$63:$AX$63))))))))</f>
        <v>0</v>
      </c>
      <c r="R32" s="82">
        <f t="shared" ca="1" si="0"/>
        <v>0</v>
      </c>
      <c r="S32" s="83">
        <f ca="1">R31+R32+R33</f>
        <v>0</v>
      </c>
      <c r="T32" s="84">
        <f ca="1">ROUNDUP(L32*S32,2)</f>
        <v>0</v>
      </c>
      <c r="U32" s="143">
        <f ca="1">IF($F$55=0,0,OFFSET(◆入力◆④「1個放水」計算!U32,$F$55-$F$56,0,1,1))</f>
        <v>0</v>
      </c>
      <c r="V32" s="138">
        <f ca="1">IF($F$55=0,0,OFFSET(◆入力◆④「1個放水」計算!V32,$F$55-$F$56,0,1,1))</f>
        <v>0</v>
      </c>
      <c r="W32" s="82">
        <f ca="1">IF($U32="Yスト",AC32,IF($I31="sgp-vb",AD32,IF($I31="sgp-pb",AE32,IF($I31="hivp",AF32,IF(OR($I31="sgp",$I31="フレキ"),AG32,IF($I31="sus",AH32,IF(OR($I31="PE",$I31="PP"),AI32,0)))))))</f>
        <v>0</v>
      </c>
      <c r="X32" s="82">
        <f t="shared" ca="1" si="1"/>
        <v>0</v>
      </c>
      <c r="Y32" s="83">
        <f ca="1">SUM(X31:X33)</f>
        <v>0</v>
      </c>
      <c r="Z32" s="84">
        <f t="shared" ref="Z32" ca="1" si="21">IF(AND($U32="電動弁",$V32=1),LOOKUP($K32,$AL$76:$BQ$76,$AL$77:$BQ$77),IF(AND($U32="逆流防止装置E",$V32=1),LOOKUP($I32,$AN$105:$AQ$105,$AN127:$AQ127),IF(AND($U32="逆流防止装置K",$V32=1),LOOKUP($I32,$AN$105:$AQ$105,$AN128:$AQ128),IF(AND($U32="逆流防止装置T",$V32=1),LOOKUP($I32,$AN$105:$AQ$105,$AN129:$AQ129),0))))</f>
        <v>0</v>
      </c>
      <c r="AA32" s="40"/>
      <c r="AB32" s="84">
        <f ca="1">N32+T32+Z31+Z32+Z33</f>
        <v>0</v>
      </c>
      <c r="AC32" s="89">
        <f ca="1">IF(U32="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2" s="90">
        <f ca="1">IF($U32="仕切弁",LOOKUP($I32,◆入力◆④「1個放水」計算!$AL$4:$AX$4,◆入力◆④「1個放水」計算!$AL$9:$AX$9),IF($U32="逆止弁",LOOKUP($I32,◆入力◆④「1個放水」計算!$AL$4:$AX$4,◆入力◆④「1個放水」計算!$AL$10:$AX$10),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E32" s="90">
        <f ca="1">IF($U32="仕切弁",LOOKUP($I32,◆入力◆④「1個放水」計算!$AL$15:$AX$15,◆入力◆④「1個放水」計算!$AL$20:$AX$20),IF($U32="逆止弁",LOOKUP($I32,◆入力◆④「1個放水」計算!$AL$15:$AX$15,◆入力◆④「1個放水」計算!$AL$21:$AX$21),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F32" s="90">
        <f ca="1">IF($U32="仕切弁",LOOKUP($I32,◆入力◆④「1個放水」計算!$AL$26:$AX$26,◆入力◆④「1個放水」計算!$AL$31:$AX$31),IF($U32="逆止弁",LOOKUP($I32,◆入力◆④「1個放水」計算!$AL$26:$AX$26,◆入力◆④「1個放水」計算!$AL$32:$AX$32),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G32" s="90">
        <f ca="1">IF($U32="仕切弁",LOOKUP($I32,◆入力◆④「1個放水」計算!$AL$37:$AX$37,◆入力◆④「1個放水」計算!$AL$42:$AX$42),IF($U32="逆止弁",LOOKUP($I32,◆入力◆④「1個放水」計算!$AL$37:$AX$37,◆入力◆④「1個放水」計算!$AL$43:$AX$43),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H32" s="90">
        <f ca="1">IF($U32="仕切弁",LOOKUP($I32,◆入力◆④「1個放水」計算!$AL$48:$AX$48,◆入力◆④「1個放水」計算!$AL$53:$AX$53),IF($U32="逆止弁",LOOKUP($I32,◆入力◆④「1個放水」計算!$AL$48:$AX$48,◆入力◆④「1個放水」計算!$AL$54:$AX$54),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I32" s="90">
        <f ca="1">IF($U32="仕切弁",LOOKUP($I32,◆入力◆④「1個放水」計算!$AL$59:$AX$59,◆入力◆④「1個放水」計算!$AL$65:$AX$65),IF($U32="逆止弁",LOOKUP($I32,◆入力◆④「1個放水」計算!$AL$59:$AX$59,◆入力◆④「1個放水」計算!$AL$66:$AX$66),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J32" s="115"/>
      <c r="AL32" s="40"/>
      <c r="AM32" s="40"/>
      <c r="BB32" s="50"/>
    </row>
    <row r="33" spans="6:54" x14ac:dyDescent="0.15">
      <c r="F33" s="235"/>
      <c r="G33" s="40"/>
      <c r="H33" s="149"/>
      <c r="I33" s="146" t="b">
        <f ca="1">IF(I32="",0,IF(I31="SGP-VB",LOOKUP(I32,◆入力◆④「1個放水」計算!$AL$4:$AX$4,◆入力◆④「1個放水」計算!$AL$5:$AX$5),IF(I31="SGP-PB",LOOKUP(I32,◆入力◆④「1個放水」計算!$AL$15:$AX$15,◆入力◆④「1個放水」計算!$AL$16:$AX$16),IF(I31="HIVP",LOOKUP(I32,◆入力◆④「1個放水」計算!$AL$26:$AX$26,◆入力◆④「1個放水」計算!$AL$27:$AX$27),IF(OR(I31="SGP",I31="フレキ"),LOOKUP(I32,◆入力◆④「1個放水」計算!$AL$37:$AX$37,◆入力◆④「1個放水」計算!$AL$38:$AX$38),IF(I31="SUS",LOOKUP(I32,◆入力◆④「1個放水」計算!$AL$48:$AX$48,◆入力◆④「1個放水」計算!$AL$49:$AX$49),IF(OR(I31="PE",I31="PP"),LOOKUP(I32,◆入力◆④「1個放水」計算!$AL$59:$AX$59,◆入力◆④「1個放水」計算!$AL$60:$AX$60))))))))</f>
        <v>0</v>
      </c>
      <c r="J33" s="121"/>
      <c r="K33" s="150"/>
      <c r="L33" s="98"/>
      <c r="M33" s="151"/>
      <c r="N33" s="93"/>
      <c r="O33" s="87">
        <f ca="1">IF(I32=0,0,"Ｔ分")</f>
        <v>0</v>
      </c>
      <c r="P33" s="152">
        <f ca="1">IF($F$55=0,0,OFFSET(◆入力◆④「1個放水」計算!P33,$F$55-$F$56,0,1,1))</f>
        <v>0</v>
      </c>
      <c r="Q33" s="88">
        <f ca="1">IF(I32=0,0,IF(I31="SGP-VB",LOOKUP(I32,◆入力◆④「1個放水」計算!$AL$4:$AX$4,◆入力◆④「1個放水」計算!$AL$8:$AX$8),IF(I31="SGP-PB",LOOKUP(I32,◆入力◆④「1個放水」計算!$AL$15:$AX$15,◆入力◆④「1個放水」計算!$AL$19:$AX$19),IF(I31="HIVP",LOOKUP(I32,◆入力◆④「1個放水」計算!$AL$26:$AX$26,◆入力◆④「1個放水」計算!$AL$30:$AX$30),IF(OR(I31="SGP",I31="フレキ"),LOOKUP(I32,◆入力◆④「1個放水」計算!$AL$37:$AX$37,◆入力◆④「1個放水」計算!$AL$41:$AX$41),IF(I31="SUS",LOOKUP(I32,◆入力◆④「1個放水」計算!$AL$48:$AX$48,◆入力◆④「1個放水」計算!$AL$52:$AX$52),IF(OR(I31="PE",I31="PP"),LOOKUP(I32,◆入力◆④「1個放水」計算!$AL$59:$AX$59,◆入力◆④「1個放水」計算!$AL$64:$AX$64))))))))</f>
        <v>0</v>
      </c>
      <c r="R33" s="100">
        <f t="shared" ca="1" si="0"/>
        <v>0</v>
      </c>
      <c r="S33" s="101"/>
      <c r="T33" s="92"/>
      <c r="U33" s="147">
        <f ca="1">IF($F$55=0,0,OFFSET(◆入力◆④「1個放水」計算!U33,$F$55-$F$56,0,1,1))</f>
        <v>0</v>
      </c>
      <c r="V33" s="152">
        <f ca="1">IF($F$55=0,0,OFFSET(◆入力◆④「1個放水」計算!V33,$F$55-$F$56,0,1,1))</f>
        <v>0</v>
      </c>
      <c r="W33" s="100">
        <f ca="1">IF($U33="Yスト",AC33,IF($I31="sgp-vb",AD33,IF($I31="sgp-pb",AE33,IF($I31="hivp",AF33,IF(OR($I31="sgp",$I31="フレキ"),AG33,IF($I31="sus",AH33,IF(OR($I31="PE",$I31="PP"),AI33,0)))))))</f>
        <v>0</v>
      </c>
      <c r="X33" s="100">
        <f t="shared" ca="1" si="1"/>
        <v>0</v>
      </c>
      <c r="Y33" s="101"/>
      <c r="Z33" s="92">
        <f t="shared" ref="Z33" ca="1" si="22">ROUNDUP(L32*Y32,2)</f>
        <v>0</v>
      </c>
      <c r="AA33" s="40"/>
      <c r="AB33" s="76"/>
      <c r="AC33" s="90">
        <f ca="1">IF(U33="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3" s="90">
        <f ca="1">IF($U33="仕切弁",LOOKUP($I32,◆入力◆④「1個放水」計算!$AL$4:$AX$4,◆入力◆④「1個放水」計算!$AL$9:$AX$9),IF($U33="逆止弁",LOOKUP($I32,◆入力◆④「1個放水」計算!$AL$4:$AX$4,◆入力◆④「1個放水」計算!$AL$10:$AX$10),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E33" s="90">
        <f ca="1">IF($U33="仕切弁",LOOKUP($I32,◆入力◆④「1個放水」計算!$AL$15:$AX$15,◆入力◆④「1個放水」計算!$AL$20:$AX$20),IF($U33="逆止弁",LOOKUP($I32,◆入力◆④「1個放水」計算!$AL$15:$AX$15,◆入力◆④「1個放水」計算!$AL$21:$AX$21),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F33" s="90">
        <f ca="1">IF($U33="仕切弁",LOOKUP($I32,◆入力◆④「1個放水」計算!$AL$26:$AX$26,◆入力◆④「1個放水」計算!$AL$31:$AX$31),IF($U33="逆止弁",LOOKUP($I32,◆入力◆④「1個放水」計算!$AL$26:$AX$26,◆入力◆④「1個放水」計算!$AL$32:$AX$32),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G33" s="90">
        <f ca="1">IF($U33="仕切弁",LOOKUP($I32,◆入力◆④「1個放水」計算!$AL$37:$AX$37,◆入力◆④「1個放水」計算!$AL$42:$AX$42),IF($U33="逆止弁",LOOKUP($I32,◆入力◆④「1個放水」計算!$AL$37:$AX$37,◆入力◆④「1個放水」計算!$AL$43:$AX$43),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H33" s="90">
        <f ca="1">IF($U33="仕切弁",LOOKUP($I32,◆入力◆④「1個放水」計算!$AL$48:$AX$48,◆入力◆④「1個放水」計算!$AL$53:$AX$53),IF($U33="逆止弁",LOOKUP($I32,◆入力◆④「1個放水」計算!$AL$48:$AX$48,◆入力◆④「1個放水」計算!$AL$54:$AX$54),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I33" s="90">
        <f ca="1">IF($U33="仕切弁",LOOKUP($I32,◆入力◆④「1個放水」計算!$AL$59:$AX$59,◆入力◆④「1個放水」計算!$AL$65:$AX$65),IF($U33="逆止弁",LOOKUP($I32,◆入力◆④「1個放水」計算!$AL$59:$AX$59,◆入力◆④「1個放水」計算!$AL$66:$AX$66),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J33" s="115"/>
      <c r="AL33" s="40"/>
      <c r="AM33" s="40"/>
      <c r="BB33" s="50"/>
    </row>
    <row r="34" spans="6:54" x14ac:dyDescent="0.15">
      <c r="F34" s="235" t="s">
        <v>29</v>
      </c>
      <c r="G34" s="40"/>
      <c r="H34" s="132"/>
      <c r="I34" s="133">
        <f ca="1">IF(I31=0,0,OFFSET(◆入力◆④「1個放水」計算!I34,$F$55-$F$56,0,1,1))</f>
        <v>0</v>
      </c>
      <c r="J34" s="121"/>
      <c r="K34" s="134"/>
      <c r="L34" s="74"/>
      <c r="M34" s="142"/>
      <c r="N34" s="76"/>
      <c r="O34" s="77">
        <f ca="1">IF(I35=0,0,"E９０°")</f>
        <v>0</v>
      </c>
      <c r="P34" s="136">
        <f ca="1">IF($F$55=0,0,OFFSET(◆入力◆④「1個放水」計算!P34,$F$55-$F$56,0,1,1))</f>
        <v>0</v>
      </c>
      <c r="Q34" s="78">
        <f ca="1">IF(I35=0,0,IF(I34="SGP-VB",LOOKUP(I35,◆入力◆④「1個放水」計算!$AL$4:$AX$4,◆入力◆④「1個放水」計算!$AL$6:$AX$6),IF(I34="SGP-PB",LOOKUP(I35,◆入力◆④「1個放水」計算!$AL$15:$AX$15,◆入力◆④「1個放水」計算!$AL$17:$AX$17),IF(I34="HIVP",LOOKUP(I35,◆入力◆④「1個放水」計算!$AL$26:$AX$26,◆入力◆④「1個放水」計算!$AL$28:$AX$28),IF(OR(I34="SGP",I34="フレキ"),LOOKUP(I35,◆入力◆④「1個放水」計算!$AL$37:$AX$37,◆入力◆④「1個放水」計算!$AL$39:$AX$39),IF(I34="SUS",LOOKUP(I35,◆入力◆④「1個放水」計算!$AL$48:$AX$48,◆入力◆④「1個放水」計算!$AL$50:$AX$50),IF(OR(I34="PE",I34="PP"),LOOKUP(I35,◆入力◆④「1個放水」計算!$AL$59:$AX$59,◆入力◆④「1個放水」計算!$AL$61:$AX$61))))))))</f>
        <v>0</v>
      </c>
      <c r="R34" s="79">
        <f t="shared" ca="1" si="0"/>
        <v>0</v>
      </c>
      <c r="S34" s="80"/>
      <c r="T34" s="81">
        <v>0</v>
      </c>
      <c r="U34" s="137">
        <f ca="1">IF($F$55=0,0,OFFSET(◆入力◆④「1個放水」計算!U34,$F$55-$F$56,0,1,1))</f>
        <v>0</v>
      </c>
      <c r="V34" s="138">
        <f ca="1">IF($F$55=0,0,OFFSET(◆入力◆④「1個放水」計算!V34,$F$55-$F$56,0,1,1))</f>
        <v>0</v>
      </c>
      <c r="W34" s="82">
        <f ca="1">IF($U34="Yスト",AC34,IF($I34="sgp-vb",AD34,IF($I34="sgp-pb",AE34,IF($I34="hivp",AF34,IF(OR($I34="sgp",$I34="フレキ"),AG34,IF($I34="sus",AH34,IF(OR($I34="PE",$I34="PP"),AI34,0)))))))</f>
        <v>0</v>
      </c>
      <c r="X34" s="82">
        <f t="shared" ca="1" si="1"/>
        <v>0</v>
      </c>
      <c r="Y34" s="83"/>
      <c r="Z34" s="84">
        <f t="shared" ref="Z34" ca="1" si="23">IF(AND($U34="電動弁",$V34=1),LOOKUP($K35,$AL$76:$BQ$76,$AL$77:$BQ$77),IF(AND($U34="逆流防止装置E",$V34=1),LOOKUP($I35,$AN$105:$AQ$105,$AN130:$AQ130),IF(AND($U34="逆流防止装置K",$V34=1),LOOKUP($I35,$AN$105:$AQ$105,$AN131:$AQ131),IF(AND($U34="逆流防止装置T",$V34=1),LOOKUP($I35,$AN$105:$AQ$105,$AN132:$AQ132),0))))</f>
        <v>0</v>
      </c>
      <c r="AA34" s="40"/>
      <c r="AB34" s="85"/>
      <c r="AC34" s="86">
        <f ca="1">IF(U34="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4" s="86">
        <f ca="1">IF($U34="仕切弁",LOOKUP($I35,◆入力◆④「1個放水」計算!$AL$4:$AX$4,◆入力◆④「1個放水」計算!$AL$9:$AX$9),IF($U34="逆止弁",LOOKUP($I35,◆入力◆④「1個放水」計算!$AL$4:$AX$4,◆入力◆④「1個放水」計算!$AL$10:$AX$10),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E34" s="86">
        <f ca="1">IF($U34="仕切弁",LOOKUP($I35,◆入力◆④「1個放水」計算!$AL$15:$AX$15,◆入力◆④「1個放水」計算!$AL$20:$AX$20),IF($U34="逆止弁",LOOKUP($I35,◆入力◆④「1個放水」計算!$AL$15:$AX$15,◆入力◆④「1個放水」計算!$AL$21:$AX$21),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F34" s="86">
        <f ca="1">IF($U34="仕切弁",LOOKUP($I35,◆入力◆④「1個放水」計算!$AL$26:$AX$26,◆入力◆④「1個放水」計算!$AL$31:$AX$31),IF($U34="逆止弁",LOOKUP($I35,◆入力◆④「1個放水」計算!$AL$26:$AX$26,◆入力◆④「1個放水」計算!$AL$32:$AX$32),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G34" s="86">
        <f ca="1">IF($U34="仕切弁",LOOKUP($I35,◆入力◆④「1個放水」計算!$AL$37:$AX$37,◆入力◆④「1個放水」計算!$AL$42:$AX$42),IF($U34="逆止弁",LOOKUP($I35,◆入力◆④「1個放水」計算!$AL$37:$AX$37,◆入力◆④「1個放水」計算!$AL$43:$AX$43),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H34" s="86">
        <f ca="1">IF($U34="仕切弁",LOOKUP($I35,◆入力◆④「1個放水」計算!$AL$48:$AX$48,◆入力◆④「1個放水」計算!$AL$53:$AX$53),IF($U34="逆止弁",LOOKUP($I35,◆入力◆④「1個放水」計算!$AL$48:$AX$48,◆入力◆④「1個放水」計算!$AL$54:$AX$54),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I34" s="86">
        <f ca="1">IF($U34="仕切弁",LOOKUP($I35,◆入力◆④「1個放水」計算!$AL$59:$AX$59,◆入力◆④「1個放水」計算!$AL$65:$AX$65),IF($U34="逆止弁",LOOKUP($I35,◆入力◆④「1個放水」計算!$AL$59:$AX$59,◆入力◆④「1個放水」計算!$AL$66:$AX$66),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J34" s="115"/>
      <c r="AL34" s="40"/>
      <c r="AM34" s="40"/>
      <c r="BB34" s="50"/>
    </row>
    <row r="35" spans="6:54" x14ac:dyDescent="0.15">
      <c r="F35" s="235"/>
      <c r="G35" s="40"/>
      <c r="H35" s="149">
        <f ca="1">IF($F$55=0,0,IF(H32=◆入力◆④「1個放水」計算!$H$41,0,OFFSET(◆入力◆④「1個放水」計算!H35,$F$55-$F$56,0,1,1)))</f>
        <v>0</v>
      </c>
      <c r="I35" s="140">
        <f ca="1">IF(I32=0,0,OFFSET(◆入力◆④「1個放水」計算!I35,$F$55-$F$56,0,1,1))</f>
        <v>0</v>
      </c>
      <c r="J35" s="121"/>
      <c r="K35" s="134">
        <f ca="1">IF(I35=0,0,K32)</f>
        <v>0</v>
      </c>
      <c r="L35" s="74">
        <f ca="1">IF(I35=0,0,IF(I35&gt;=65,K35^1.85*0.012/I36^4.87,ROUNDUP((0.0126+(0.01739-(0.1087*I36/100))/SQRT(4*K35/(60000*PI()*(I36/100)^2)))*(1/(I36/100))*((4*K35/(60000*PI()*(I36/100)^2))^2/(2*9.8)),4)))</f>
        <v>0</v>
      </c>
      <c r="M35" s="142">
        <f ca="1">IF($F$55=0,0,OFFSET(◆入力◆④「1個放水」計算!M35,$F$55-$F$56,0,1,1))</f>
        <v>0</v>
      </c>
      <c r="N35" s="84">
        <f ca="1">ROUNDUP(L35*M35,2)</f>
        <v>0</v>
      </c>
      <c r="O35" s="87">
        <f ca="1">IF(I35=0,0,"Ｔ直")</f>
        <v>0</v>
      </c>
      <c r="P35" s="138">
        <f ca="1">IF($F$55=0,0,OFFSET(◆入力◆④「1個放水」計算!P35,$F$55-$F$56,0,1,1))</f>
        <v>0</v>
      </c>
      <c r="Q35" s="88">
        <f ca="1">IF(I35=0,0,IF(I34="SGP-VB",LOOKUP(I35,◆入力◆④「1個放水」計算!$AL$4:$AX$4,◆入力◆④「1個放水」計算!$AL$7:$AX$7),IF(I34="SGP-PB",LOOKUP(I35,◆入力◆④「1個放水」計算!$AL$15:$AX$15,◆入力◆④「1個放水」計算!$AL$18:$AX$18),IF(I34="HIVP",LOOKUP(I35,◆入力◆④「1個放水」計算!$AL$26:$AX$26,◆入力◆④「1個放水」計算!$AL$29:$AX$29),IF(OR(I34="SGP",I34="フレキ"),LOOKUP(I35,◆入力◆④「1個放水」計算!$AL$37:$AX$37,◆入力◆④「1個放水」計算!$AL$40:$AX$40),IF(I34="SUS",LOOKUP(I35,◆入力◆④「1個放水」計算!$AL$48:$AX$48,◆入力◆④「1個放水」計算!$AL$51:$AX$51),IF(OR(I34="PE",I34="PP"),LOOKUP(I35,◆入力◆④「1個放水」計算!$AL$59:$AX$59,◆入力◆④「1個放水」計算!$AL$63:$AX$63))))))))</f>
        <v>0</v>
      </c>
      <c r="R35" s="82">
        <f t="shared" ca="1" si="0"/>
        <v>0</v>
      </c>
      <c r="S35" s="83">
        <f ca="1">R34+R35+R36</f>
        <v>0</v>
      </c>
      <c r="T35" s="84">
        <f ca="1">ROUNDUP(L35*S35,2)</f>
        <v>0</v>
      </c>
      <c r="U35" s="143">
        <f ca="1">IF($F$55=0,0,OFFSET(◆入力◆④「1個放水」計算!U35,$F$55-$F$56,0,1,1))</f>
        <v>0</v>
      </c>
      <c r="V35" s="138">
        <f ca="1">IF($F$55=0,0,OFFSET(◆入力◆④「1個放水」計算!V35,$F$55-$F$56,0,1,1))</f>
        <v>0</v>
      </c>
      <c r="W35" s="82">
        <f ca="1">IF($U35="Yスト",AC35,IF($I34="sgp-vb",AD35,IF($I34="sgp-pb",AE35,IF($I34="hivp",AF35,IF(OR($I34="sgp",$I34="フレキ"),AG35,IF($I34="sus",AH35,IF(OR($I34="PE",$I34="PP"),AI35,0)))))))</f>
        <v>0</v>
      </c>
      <c r="X35" s="82">
        <f t="shared" ca="1" si="1"/>
        <v>0</v>
      </c>
      <c r="Y35" s="83">
        <f ca="1">SUM(X34:X36)</f>
        <v>0</v>
      </c>
      <c r="Z35" s="84">
        <f t="shared" ref="Z35" ca="1" si="24">IF(AND($U35="電動弁",$V35=1),LOOKUP($K35,$AL$76:$BQ$76,$AL$77:$BQ$77),IF(AND($U35="逆流防止装置E",$V35=1),LOOKUP($I35,$AN$105:$AQ$105,$AN130:$AQ130),IF(AND($U35="逆流防止装置K",$V35=1),LOOKUP($I35,$AN$105:$AQ$105,$AN131:$AQ131),IF(AND($U35="逆流防止装置T",$V35=1),LOOKUP($I35,$AN$105:$AQ$105,$AN132:$AQ132),0))))</f>
        <v>0</v>
      </c>
      <c r="AA35" s="40"/>
      <c r="AB35" s="84">
        <f ca="1">N35+T35+Z34+Z35+Z36</f>
        <v>0</v>
      </c>
      <c r="AC35" s="89">
        <f ca="1">IF(U35="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5" s="90">
        <f ca="1">IF($U35="仕切弁",LOOKUP($I35,◆入力◆④「1個放水」計算!$AL$4:$AX$4,◆入力◆④「1個放水」計算!$AL$9:$AX$9),IF($U35="逆止弁",LOOKUP($I35,◆入力◆④「1個放水」計算!$AL$4:$AX$4,◆入力◆④「1個放水」計算!$AL$10:$AX$10),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E35" s="90">
        <f ca="1">IF($U35="仕切弁",LOOKUP($I35,◆入力◆④「1個放水」計算!$AL$15:$AX$15,◆入力◆④「1個放水」計算!$AL$20:$AX$20),IF($U35="逆止弁",LOOKUP($I35,◆入力◆④「1個放水」計算!$AL$15:$AX$15,◆入力◆④「1個放水」計算!$AL$21:$AX$21),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F35" s="90">
        <f ca="1">IF($U35="仕切弁",LOOKUP($I35,◆入力◆④「1個放水」計算!$AL$26:$AX$26,◆入力◆④「1個放水」計算!$AL$31:$AX$31),IF($U35="逆止弁",LOOKUP($I35,◆入力◆④「1個放水」計算!$AL$26:$AX$26,◆入力◆④「1個放水」計算!$AL$32:$AX$32),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G35" s="90">
        <f ca="1">IF($U35="仕切弁",LOOKUP($I35,◆入力◆④「1個放水」計算!$AL$37:$AX$37,◆入力◆④「1個放水」計算!$AL$42:$AX$42),IF($U35="逆止弁",LOOKUP($I35,◆入力◆④「1個放水」計算!$AL$37:$AX$37,◆入力◆④「1個放水」計算!$AL$43:$AX$43),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H35" s="90">
        <f ca="1">IF($U35="仕切弁",LOOKUP($I35,◆入力◆④「1個放水」計算!$AL$48:$AX$48,◆入力◆④「1個放水」計算!$AL$53:$AX$53),IF($U35="逆止弁",LOOKUP($I35,◆入力◆④「1個放水」計算!$AL$48:$AX$48,◆入力◆④「1個放水」計算!$AL$54:$AX$54),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I35" s="90">
        <f ca="1">IF($U35="仕切弁",LOOKUP($I35,◆入力◆④「1個放水」計算!$AL$59:$AX$59,◆入力◆④「1個放水」計算!$AL$65:$AX$65),IF($U35="逆止弁",LOOKUP($I35,◆入力◆④「1個放水」計算!$AL$59:$AX$59,◆入力◆④「1個放水」計算!$AL$66:$AX$66),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J35" s="115"/>
      <c r="AL35" s="40"/>
      <c r="AM35" s="40"/>
      <c r="BB35" s="50"/>
    </row>
    <row r="36" spans="6:54" x14ac:dyDescent="0.15">
      <c r="F36" s="235"/>
      <c r="G36" s="40"/>
      <c r="H36" s="145"/>
      <c r="I36" s="146" t="b">
        <f ca="1">IF(I35="",0,IF(I34="SGP-VB",LOOKUP(I35,◆入力◆④「1個放水」計算!$AL$4:$AX$4,◆入力◆④「1個放水」計算!$AL$5:$AX$5),IF(I34="SGP-PB",LOOKUP(I35,◆入力◆④「1個放水」計算!$AL$15:$AX$15,◆入力◆④「1個放水」計算!$AL$16:$AX$16),IF(I34="HIVP",LOOKUP(I35,◆入力◆④「1個放水」計算!$AL$26:$AX$26,◆入力◆④「1個放水」計算!$AL$27:$AX$27),IF(OR(I34="SGP",I34="フレキ"),LOOKUP(I35,◆入力◆④「1個放水」計算!$AL$37:$AX$37,◆入力◆④「1個放水」計算!$AL$38:$AX$38),IF(I34="SUS",LOOKUP(I35,◆入力◆④「1個放水」計算!$AL$48:$AX$48,◆入力◆④「1個放水」計算!$AL$49:$AX$49),IF(OR(I34="PE",I34="PP"),LOOKUP(I35,◆入力◆④「1個放水」計算!$AL$59:$AX$59,◆入力◆④「1個放水」計算!$AL$60:$AX$60))))))))</f>
        <v>0</v>
      </c>
      <c r="J36" s="121"/>
      <c r="K36" s="134"/>
      <c r="L36" s="74"/>
      <c r="M36" s="142"/>
      <c r="N36" s="76"/>
      <c r="O36" s="87">
        <f ca="1">IF(I35=0,0,"Ｔ分")</f>
        <v>0</v>
      </c>
      <c r="P36" s="152">
        <f ca="1">IF($F$55=0,0,OFFSET(◆入力◆④「1個放水」計算!P36,$F$55-$F$56,0,1,1))</f>
        <v>0</v>
      </c>
      <c r="Q36" s="88">
        <f ca="1">IF(I35=0,0,IF(I34="SGP-VB",LOOKUP(I35,◆入力◆④「1個放水」計算!$AL$4:$AX$4,◆入力◆④「1個放水」計算!$AL$8:$AX$8),IF(I34="SGP-PB",LOOKUP(I35,◆入力◆④「1個放水」計算!$AL$15:$AX$15,◆入力◆④「1個放水」計算!$AL$19:$AX$19),IF(I34="HIVP",LOOKUP(I35,◆入力◆④「1個放水」計算!$AL$26:$AX$26,◆入力◆④「1個放水」計算!$AL$30:$AX$30),IF(OR(I34="SGP",I34="フレキ"),LOOKUP(I35,◆入力◆④「1個放水」計算!$AL$37:$AX$37,◆入力◆④「1個放水」計算!$AL$41:$AX$41),IF(I34="SUS",LOOKUP(I35,◆入力◆④「1個放水」計算!$AL$48:$AX$48,◆入力◆④「1個放水」計算!$AL$52:$AX$52),IF(OR(I34="PE",I34="PP"),LOOKUP(I35,◆入力◆④「1個放水」計算!$AL$59:$AX$59,◆入力◆④「1個放水」計算!$AL$64:$AX$64))))))))</f>
        <v>0</v>
      </c>
      <c r="R36" s="100">
        <f t="shared" ca="1" si="0"/>
        <v>0</v>
      </c>
      <c r="S36" s="101"/>
      <c r="T36" s="92"/>
      <c r="U36" s="147">
        <f ca="1">IF($F$55=0,0,OFFSET(◆入力◆④「1個放水」計算!U36,$F$55-$F$56,0,1,1))</f>
        <v>0</v>
      </c>
      <c r="V36" s="138">
        <f ca="1">IF($F$55=0,0,OFFSET(◆入力◆④「1個放水」計算!V36,$F$55-$F$56,0,1,1))</f>
        <v>0</v>
      </c>
      <c r="W36" s="100">
        <f ca="1">IF($U36="Yスト",AC36,IF($I34="sgp-vb",AD36,IF($I34="sgp-pb",AE36,IF($I34="hivp",AF36,IF(OR($I34="sgp",$I34="フレキ"),AG36,IF($I34="sus",AH36,IF(OR($I34="PE",$I34="PP"),AI36,0)))))))</f>
        <v>0</v>
      </c>
      <c r="X36" s="82">
        <f t="shared" ca="1" si="1"/>
        <v>0</v>
      </c>
      <c r="Y36" s="83"/>
      <c r="Z36" s="92">
        <f t="shared" ref="Z36" ca="1" si="25">ROUNDUP(L35*Y35,2)</f>
        <v>0</v>
      </c>
      <c r="AA36" s="40"/>
      <c r="AB36" s="93"/>
      <c r="AC36" s="90">
        <f ca="1">IF(U36="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6" s="90">
        <f ca="1">IF($U36="仕切弁",LOOKUP($I35,◆入力◆④「1個放水」計算!$AL$4:$AX$4,◆入力◆④「1個放水」計算!$AL$9:$AX$9),IF($U36="逆止弁",LOOKUP($I35,◆入力◆④「1個放水」計算!$AL$4:$AX$4,◆入力◆④「1個放水」計算!$AL$10:$AX$10),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E36" s="90">
        <f ca="1">IF($U36="仕切弁",LOOKUP($I35,◆入力◆④「1個放水」計算!$AL$15:$AX$15,◆入力◆④「1個放水」計算!$AL$20:$AX$20),IF($U36="逆止弁",LOOKUP($I35,◆入力◆④「1個放水」計算!$AL$15:$AX$15,◆入力◆④「1個放水」計算!$AL$21:$AX$21),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F36" s="90">
        <f ca="1">IF($U36="仕切弁",LOOKUP($I35,◆入力◆④「1個放水」計算!$AL$26:$AX$26,◆入力◆④「1個放水」計算!$AL$31:$AX$31),IF($U36="逆止弁",LOOKUP($I35,◆入力◆④「1個放水」計算!$AL$26:$AX$26,◆入力◆④「1個放水」計算!$AL$32:$AX$32),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G36" s="90">
        <f ca="1">IF($U36="仕切弁",LOOKUP($I35,◆入力◆④「1個放水」計算!$AL$37:$AX$37,◆入力◆④「1個放水」計算!$AL$42:$AX$42),IF($U36="逆止弁",LOOKUP($I35,◆入力◆④「1個放水」計算!$AL$37:$AX$37,◆入力◆④「1個放水」計算!$AL$43:$AX$43),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H36" s="90">
        <f ca="1">IF($U36="仕切弁",LOOKUP($I35,◆入力◆④「1個放水」計算!$AL$48:$AX$48,◆入力◆④「1個放水」計算!$AL$53:$AX$53),IF($U36="逆止弁",LOOKUP($I35,◆入力◆④「1個放水」計算!$AL$48:$AX$48,◆入力◆④「1個放水」計算!$AL$54:$AX$54),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I36" s="90">
        <f ca="1">IF($U36="仕切弁",LOOKUP($I35,◆入力◆④「1個放水」計算!$AL$59:$AX$59,◆入力◆④「1個放水」計算!$AL$65:$AX$65),IF($U36="逆止弁",LOOKUP($I35,◆入力◆④「1個放水」計算!$AL$59:$AX$59,◆入力◆④「1個放水」計算!$AL$66:$AX$66),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J36" s="115"/>
      <c r="AL36" s="40"/>
      <c r="AM36" s="40"/>
      <c r="BB36" s="50"/>
    </row>
    <row r="37" spans="6:54" x14ac:dyDescent="0.15">
      <c r="F37" s="235" t="s">
        <v>30</v>
      </c>
      <c r="G37" s="40"/>
      <c r="H37" s="154"/>
      <c r="I37" s="133">
        <f ca="1">IF(I34=0,0,OFFSET(◆入力◆④「1個放水」計算!I37,$F$55-$F$56,0,1,1))</f>
        <v>0</v>
      </c>
      <c r="J37" s="121"/>
      <c r="K37" s="148"/>
      <c r="L37" s="95"/>
      <c r="M37" s="135"/>
      <c r="N37" s="85"/>
      <c r="O37" s="77">
        <f ca="1">IF(I38=0,0,"E９０°")</f>
        <v>0</v>
      </c>
      <c r="P37" s="136">
        <f ca="1">IF($F$55=0,0,OFFSET(◆入力◆④「1個放水」計算!P37,$F$55-$F$56,0,1,1))</f>
        <v>0</v>
      </c>
      <c r="Q37" s="78">
        <f ca="1">IF(I38=0,0,IF(I37="SGP-VB",LOOKUP(I38,◆入力◆④「1個放水」計算!$AL$4:$AX$4,◆入力◆④「1個放水」計算!$AL$6:$AX$6),IF(I37="SGP-PB",LOOKUP(I38,◆入力◆④「1個放水」計算!$AL$15:$AX$15,◆入力◆④「1個放水」計算!$AL$17:$AX$17),IF(I37="HIVP",LOOKUP(I38,◆入力◆④「1個放水」計算!$AL$26:$AX$26,◆入力◆④「1個放水」計算!$AL$28:$AX$28),IF(OR(I37="SGP",I37="フレキ"),LOOKUP(I38,◆入力◆④「1個放水」計算!$AL$37:$AX$37,◆入力◆④「1個放水」計算!$AL$39:$AX$39),IF(I37="SUS",LOOKUP(I38,◆入力◆④「1個放水」計算!$AL$48:$AX$48,◆入力◆④「1個放水」計算!$AL$50:$AX$50),IF(OR(I37="PE",I37="PP"),LOOKUP(I38,◆入力◆④「1個放水」計算!$AL$59:$AX$59,◆入力◆④「1個放水」計算!$AL$61:$AX$61))))))))</f>
        <v>0</v>
      </c>
      <c r="R37" s="79">
        <f t="shared" ca="1" si="0"/>
        <v>0</v>
      </c>
      <c r="S37" s="80"/>
      <c r="T37" s="81">
        <v>0</v>
      </c>
      <c r="U37" s="137">
        <f ca="1">IF($F$55=0,0,OFFSET(◆入力◆④「1個放水」計算!U37,$F$55-$F$56,0,1,1))</f>
        <v>0</v>
      </c>
      <c r="V37" s="136">
        <f ca="1">IF($F$55=0,0,OFFSET(◆入力◆④「1個放水」計算!V37,$F$55-$F$56,0,1,1))</f>
        <v>0</v>
      </c>
      <c r="W37" s="82">
        <f ca="1">IF($U37="Yスト",AC37,IF($I37="sgp-vb",AD37,IF($I37="sgp-pb",AE37,IF($I37="hivp",AF37,IF(OR($I37="sgp",$I37="フレキ"),AG37,IF($I37="sus",AH37,IF(OR($I37="PE",$I37="PP"),AI37,0)))))))</f>
        <v>0</v>
      </c>
      <c r="X37" s="79">
        <f t="shared" ca="1" si="1"/>
        <v>0</v>
      </c>
      <c r="Y37" s="80"/>
      <c r="Z37" s="84">
        <f t="shared" ref="Z37" ca="1" si="26">IF(AND($U37="電動弁",$V37=1),LOOKUP($K38,$AL$76:$BQ$76,$AL$77:$BQ$77),IF(AND($U37="逆流防止装置E",$V37=1),LOOKUP($I38,$AN$105:$AQ$105,$AN133:$AQ133),IF(AND($U37="逆流防止装置K",$V37=1),LOOKUP($I38,$AN$105:$AQ$105,$AN134:$AQ134),IF(AND($U37="逆流防止装置T",$V37=1),LOOKUP($I38,$AN$105:$AQ$105,$AN135:$AQ135),0))))</f>
        <v>0</v>
      </c>
      <c r="AA37" s="40"/>
      <c r="AB37" s="76"/>
      <c r="AC37" s="86">
        <f ca="1">IF(U37="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7" s="86">
        <f ca="1">IF($U37="仕切弁",LOOKUP($I38,◆入力◆④「1個放水」計算!$AL$4:$AX$4,◆入力◆④「1個放水」計算!$AL$9:$AX$9),IF($U37="逆止弁",LOOKUP($I38,◆入力◆④「1個放水」計算!$AL$4:$AX$4,◆入力◆④「1個放水」計算!$AL$10:$AX$10),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E37" s="86">
        <f ca="1">IF($U37="仕切弁",LOOKUP($I38,◆入力◆④「1個放水」計算!$AL$15:$AX$15,◆入力◆④「1個放水」計算!$AL$20:$AX$20),IF($U37="逆止弁",LOOKUP($I38,◆入力◆④「1個放水」計算!$AL$15:$AX$15,◆入力◆④「1個放水」計算!$AL$21:$AX$21),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F37" s="86">
        <f ca="1">IF($U37="仕切弁",LOOKUP($I38,◆入力◆④「1個放水」計算!$AL$26:$AX$26,◆入力◆④「1個放水」計算!$AL$31:$AX$31),IF($U37="逆止弁",LOOKUP($I38,◆入力◆④「1個放水」計算!$AL$26:$AX$26,◆入力◆④「1個放水」計算!$AL$32:$AX$32),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G37" s="86">
        <f ca="1">IF($U37="仕切弁",LOOKUP($I38,◆入力◆④「1個放水」計算!$AL$37:$AX$37,◆入力◆④「1個放水」計算!$AL$42:$AX$42),IF($U37="逆止弁",LOOKUP($I38,◆入力◆④「1個放水」計算!$AL$37:$AX$37,◆入力◆④「1個放水」計算!$AL$43:$AX$43),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H37" s="86">
        <f ca="1">IF($U37="仕切弁",LOOKUP($I38,◆入力◆④「1個放水」計算!$AL$48:$AX$48,◆入力◆④「1個放水」計算!$AL$53:$AX$53),IF($U37="逆止弁",LOOKUP($I38,◆入力◆④「1個放水」計算!$AL$48:$AX$48,◆入力◆④「1個放水」計算!$AL$54:$AX$54),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I37" s="86">
        <f ca="1">IF($U37="仕切弁",LOOKUP($I38,◆入力◆④「1個放水」計算!$AL$59:$AX$59,◆入力◆④「1個放水」計算!$AL$65:$AX$65),IF($U37="逆止弁",LOOKUP($I38,◆入力◆④「1個放水」計算!$AL$59:$AX$59,◆入力◆④「1個放水」計算!$AL$66:$AX$66),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J37" s="115"/>
      <c r="AL37" s="40"/>
      <c r="AM37" s="40"/>
      <c r="BB37" s="50"/>
    </row>
    <row r="38" spans="6:54" x14ac:dyDescent="0.15">
      <c r="F38" s="235"/>
      <c r="G38" s="40"/>
      <c r="H38" s="149">
        <f ca="1">IF($F$55=0,0,IF(H35=◆入力◆④「1個放水」計算!$H$41,0,OFFSET(◆入力◆④「1個放水」計算!H38,$F$55-$F$56,0,1,1)))</f>
        <v>0</v>
      </c>
      <c r="I38" s="140">
        <f ca="1">IF(I35=0,0,OFFSET(◆入力◆④「1個放水」計算!I38,$F$55-$F$56,0,1,1))</f>
        <v>0</v>
      </c>
      <c r="J38" s="121"/>
      <c r="K38" s="134">
        <f ca="1">IF(I38=0,0,K35)</f>
        <v>0</v>
      </c>
      <c r="L38" s="74">
        <f ca="1">IF(I38=0,0,IF(I38&gt;=65,K38^1.85*0.012/I39^4.87,ROUNDUP((0.0126+(0.01739-(0.1087*I39/100))/SQRT(4*K38/(60000*PI()*(I39/100)^2)))*(1/(I39/100))*((4*K38/(60000*PI()*(I39/100)^2))^2/(2*9.8)),4)))</f>
        <v>0</v>
      </c>
      <c r="M38" s="142">
        <f ca="1">IF($F$55=0,0,OFFSET(◆入力◆④「1個放水」計算!M38,$F$55-$F$56,0,1,1))</f>
        <v>0</v>
      </c>
      <c r="N38" s="84">
        <f ca="1">ROUNDUP(L38*M38,2)</f>
        <v>0</v>
      </c>
      <c r="O38" s="87">
        <f ca="1">IF(I38=0,0,"Ｔ直")</f>
        <v>0</v>
      </c>
      <c r="P38" s="138">
        <f ca="1">IF($F$55=0,0,OFFSET(◆入力◆④「1個放水」計算!P38,$F$55-$F$56,0,1,1))</f>
        <v>0</v>
      </c>
      <c r="Q38" s="88">
        <f ca="1">IF(I38=0,0,IF(I37="SGP-VB",LOOKUP(I38,◆入力◆④「1個放水」計算!$AL$4:$AX$4,◆入力◆④「1個放水」計算!$AL$7:$AX$7),IF(I37="SGP-PB",LOOKUP(I38,◆入力◆④「1個放水」計算!$AL$15:$AX$15,◆入力◆④「1個放水」計算!$AL$18:$AX$18),IF(I37="HIVP",LOOKUP(I38,◆入力◆④「1個放水」計算!$AL$26:$AX$26,◆入力◆④「1個放水」計算!$AL$29:$AX$29),IF(OR(I37="SGP",I37="フレキ"),LOOKUP(I38,◆入力◆④「1個放水」計算!$AL$37:$AX$37,◆入力◆④「1個放水」計算!$AL$40:$AX$40),IF(I37="SUS",LOOKUP(I38,◆入力◆④「1個放水」計算!$AL$48:$AX$48,◆入力◆④「1個放水」計算!$AL$51:$AX$51),IF(OR(I37="PE",I37="PP"),LOOKUP(I38,◆入力◆④「1個放水」計算!$AL$59:$AX$59,◆入力◆④「1個放水」計算!$AL$63:$AX$63))))))))</f>
        <v>0</v>
      </c>
      <c r="R38" s="82">
        <f t="shared" ca="1" si="0"/>
        <v>0</v>
      </c>
      <c r="S38" s="83">
        <f ca="1">R37+R38+R39</f>
        <v>0</v>
      </c>
      <c r="T38" s="84">
        <f ca="1">ROUNDUP(L38*S38,2)</f>
        <v>0</v>
      </c>
      <c r="U38" s="143">
        <f ca="1">IF($F$55=0,0,OFFSET(◆入力◆④「1個放水」計算!U38,$F$55-$F$56,0,1,1))</f>
        <v>0</v>
      </c>
      <c r="V38" s="138">
        <f ca="1">IF($F$55=0,0,OFFSET(◆入力◆④「1個放水」計算!V38,$F$55-$F$56,0,1,1))</f>
        <v>0</v>
      </c>
      <c r="W38" s="82">
        <f ca="1">IF($U38="Yスト",AC38,IF($I37="sgp-vb",AD38,IF($I37="sgp-pb",AE38,IF($I37="hivp",AF38,IF(OR($I37="sgp",$I37="フレキ"),AG38,IF($I37="sus",AH38,IF(OR($I37="PE",$I37="PP"),AI38,0)))))))</f>
        <v>0</v>
      </c>
      <c r="X38" s="82">
        <f t="shared" ca="1" si="1"/>
        <v>0</v>
      </c>
      <c r="Y38" s="83">
        <f ca="1">SUM(X37:X39)</f>
        <v>0</v>
      </c>
      <c r="Z38" s="84">
        <f t="shared" ref="Z38" ca="1" si="27">IF(AND($U38="電動弁",$V38=1),LOOKUP($K38,$AL$76:$BQ$76,$AL$77:$BQ$77),IF(AND($U38="逆流防止装置E",$V38=1),LOOKUP($I38,$AN$105:$AQ$105,$AN133:$AQ133),IF(AND($U38="逆流防止装置K",$V38=1),LOOKUP($I38,$AN$105:$AQ$105,$AN134:$AQ134),IF(AND($U38="逆流防止装置T",$V38=1),LOOKUP($I38,$AN$105:$AQ$105,$AN135:$AQ135),0))))</f>
        <v>0</v>
      </c>
      <c r="AA38" s="40"/>
      <c r="AB38" s="84">
        <f ca="1">N38+T38+Z37+Z38+Z39</f>
        <v>0</v>
      </c>
      <c r="AC38" s="89">
        <f ca="1">IF(U38="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8" s="90">
        <f ca="1">IF($U38="仕切弁",LOOKUP($I38,◆入力◆④「1個放水」計算!$AL$4:$AX$4,◆入力◆④「1個放水」計算!$AL$9:$AX$9),IF($U38="逆止弁",LOOKUP($I38,◆入力◆④「1個放水」計算!$AL$4:$AX$4,◆入力◆④「1個放水」計算!$AL$10:$AX$10),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E38" s="90">
        <f ca="1">IF($U38="仕切弁",LOOKUP($I38,◆入力◆④「1個放水」計算!$AL$15:$AX$15,◆入力◆④「1個放水」計算!$AL$20:$AX$20),IF($U38="逆止弁",LOOKUP($I38,◆入力◆④「1個放水」計算!$AL$15:$AX$15,◆入力◆④「1個放水」計算!$AL$21:$AX$21),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F38" s="90">
        <f ca="1">IF($U38="仕切弁",LOOKUP($I38,◆入力◆④「1個放水」計算!$AL$26:$AX$26,◆入力◆④「1個放水」計算!$AL$31:$AX$31),IF($U38="逆止弁",LOOKUP($I38,◆入力◆④「1個放水」計算!$AL$26:$AX$26,◆入力◆④「1個放水」計算!$AL$32:$AX$32),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G38" s="90">
        <f ca="1">IF($U38="仕切弁",LOOKUP($I38,◆入力◆④「1個放水」計算!$AL$37:$AX$37,◆入力◆④「1個放水」計算!$AL$42:$AX$42),IF($U38="逆止弁",LOOKUP($I38,◆入力◆④「1個放水」計算!$AL$37:$AX$37,◆入力◆④「1個放水」計算!$AL$43:$AX$43),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H38" s="90">
        <f ca="1">IF($U38="仕切弁",LOOKUP($I38,◆入力◆④「1個放水」計算!$AL$48:$AX$48,◆入力◆④「1個放水」計算!$AL$53:$AX$53),IF($U38="逆止弁",LOOKUP($I38,◆入力◆④「1個放水」計算!$AL$48:$AX$48,◆入力◆④「1個放水」計算!$AL$54:$AX$54),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I38" s="90">
        <f ca="1">IF($U38="仕切弁",LOOKUP($I38,◆入力◆④「1個放水」計算!$AL$59:$AX$59,◆入力◆④「1個放水」計算!$AL$65:$AX$65),IF($U38="逆止弁",LOOKUP($I38,◆入力◆④「1個放水」計算!$AL$59:$AX$59,◆入力◆④「1個放水」計算!$AL$66:$AX$66),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J38" s="115"/>
      <c r="AL38" s="40"/>
      <c r="AM38" s="40"/>
      <c r="BB38" s="50"/>
    </row>
    <row r="39" spans="6:54" x14ac:dyDescent="0.15">
      <c r="F39" s="235"/>
      <c r="G39" s="40"/>
      <c r="H39" s="149"/>
      <c r="I39" s="146" t="b">
        <f ca="1">IF(I38="",0,IF(I37="SGP-VB",LOOKUP(I38,◆入力◆④「1個放水」計算!$AL$4:$AX$4,◆入力◆④「1個放水」計算!$AL$5:$AX$5),IF(I37="SGP-PB",LOOKUP(I38,◆入力◆④「1個放水」計算!$AL$15:$AX$15,◆入力◆④「1個放水」計算!$AL$16:$AX$16),IF(I37="HIVP",LOOKUP(I38,◆入力◆④「1個放水」計算!$AL$26:$AX$26,◆入力◆④「1個放水」計算!$AL$27:$AX$27),IF(OR(I37="SGP",I37="フレキ"),LOOKUP(I38,◆入力◆④「1個放水」計算!$AL$37:$AX$37,◆入力◆④「1個放水」計算!$AL$38:$AX$38),IF(I37="SUS",LOOKUP(I38,◆入力◆④「1個放水」計算!$AL$48:$AX$48,◆入力◆④「1個放水」計算!$AL$49:$AX$49),IF(OR(I37="PE",I37="PP"),LOOKUP(I38,◆入力◆④「1個放水」計算!$AL$59:$AX$59,◆入力◆④「1個放水」計算!$AL$60:$AX$60))))))))</f>
        <v>0</v>
      </c>
      <c r="J39" s="121"/>
      <c r="K39" s="150"/>
      <c r="L39" s="98"/>
      <c r="M39" s="151"/>
      <c r="N39" s="93"/>
      <c r="O39" s="87">
        <f ca="1">IF(I38=0,0,"Ｔ分")</f>
        <v>0</v>
      </c>
      <c r="P39" s="152">
        <f ca="1">IF($F$55=0,0,OFFSET(◆入力◆④「1個放水」計算!P39,$F$55-$F$56,0,1,1))</f>
        <v>0</v>
      </c>
      <c r="Q39" s="88">
        <f ca="1">IF(I38=0,0,IF(I37="SGP-VB",LOOKUP(I38,◆入力◆④「1個放水」計算!$AL$4:$AX$4,◆入力◆④「1個放水」計算!$AL$8:$AX$8),IF(I37="SGP-PB",LOOKUP(I38,◆入力◆④「1個放水」計算!$AL$15:$AX$15,◆入力◆④「1個放水」計算!$AL$19:$AX$19),IF(I37="HIVP",LOOKUP(I38,◆入力◆④「1個放水」計算!$AL$26:$AX$26,◆入力◆④「1個放水」計算!$AL$30:$AX$30),IF(OR(I37="SGP",I37="フレキ"),LOOKUP(I38,◆入力◆④「1個放水」計算!$AL$37:$AX$37,◆入力◆④「1個放水」計算!$AL$41:$AX$41),IF(I37="SUS",LOOKUP(I38,◆入力◆④「1個放水」計算!$AL$48:$AX$48,◆入力◆④「1個放水」計算!$AL$52:$AX$52),IF(OR(I37="PE",I37="PP"),LOOKUP(I38,◆入力◆④「1個放水」計算!$AL$59:$AX$59,◆入力◆④「1個放水」計算!$AL$64:$AX$64))))))))</f>
        <v>0</v>
      </c>
      <c r="R39" s="100">
        <f t="shared" ca="1" si="0"/>
        <v>0</v>
      </c>
      <c r="S39" s="101"/>
      <c r="T39" s="92"/>
      <c r="U39" s="147">
        <f ca="1">IF($F$55=0,0,OFFSET(◆入力◆④「1個放水」計算!U39,$F$55-$F$56,0,1,1))</f>
        <v>0</v>
      </c>
      <c r="V39" s="152">
        <f ca="1">IF($F$55=0,0,OFFSET(◆入力◆④「1個放水」計算!V39,$F$55-$F$56,0,1,1))</f>
        <v>0</v>
      </c>
      <c r="W39" s="100">
        <f ca="1">IF($U39="Yスト",AC39,IF($I37="sgp-vb",AD39,IF($I37="sgp-pb",AE39,IF($I37="hivp",AF39,IF(OR($I37="sgp",$I37="フレキ"),AG39,IF($I37="sus",AH39,IF(OR($I37="PE",$I37="PP"),AI39,0)))))))</f>
        <v>0</v>
      </c>
      <c r="X39" s="100">
        <f t="shared" ca="1" si="1"/>
        <v>0</v>
      </c>
      <c r="Y39" s="101"/>
      <c r="Z39" s="92">
        <f t="shared" ref="Z39" ca="1" si="28">ROUNDUP(L38*Y38,2)</f>
        <v>0</v>
      </c>
      <c r="AA39" s="40"/>
      <c r="AB39" s="76"/>
      <c r="AC39" s="90">
        <f ca="1">IF(U39="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9" s="90">
        <f ca="1">IF($U39="仕切弁",LOOKUP($I38,◆入力◆④「1個放水」計算!$AL$4:$AX$4,◆入力◆④「1個放水」計算!$AL$9:$AX$9),IF($U39="逆止弁",LOOKUP($I38,◆入力◆④「1個放水」計算!$AL$4:$AX$4,◆入力◆④「1個放水」計算!$AL$10:$AX$10),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E39" s="90">
        <f ca="1">IF($U39="仕切弁",LOOKUP($I38,◆入力◆④「1個放水」計算!$AL$15:$AX$15,◆入力◆④「1個放水」計算!$AL$20:$AX$20),IF($U39="逆止弁",LOOKUP($I38,◆入力◆④「1個放水」計算!$AL$15:$AX$15,◆入力◆④「1個放水」計算!$AL$21:$AX$21),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F39" s="90">
        <f ca="1">IF($U39="仕切弁",LOOKUP($I38,◆入力◆④「1個放水」計算!$AL$26:$AX$26,◆入力◆④「1個放水」計算!$AL$31:$AX$31),IF($U39="逆止弁",LOOKUP($I38,◆入力◆④「1個放水」計算!$AL$26:$AX$26,◆入力◆④「1個放水」計算!$AL$32:$AX$32),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G39" s="90">
        <f ca="1">IF($U39="仕切弁",LOOKUP($I38,◆入力◆④「1個放水」計算!$AL$37:$AX$37,◆入力◆④「1個放水」計算!$AL$42:$AX$42),IF($U39="逆止弁",LOOKUP($I38,◆入力◆④「1個放水」計算!$AL$37:$AX$37,◆入力◆④「1個放水」計算!$AL$43:$AX$43),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H39" s="90">
        <f ca="1">IF($U39="仕切弁",LOOKUP($I38,◆入力◆④「1個放水」計算!$AL$48:$AX$48,◆入力◆④「1個放水」計算!$AL$53:$AX$53),IF($U39="逆止弁",LOOKUP($I38,◆入力◆④「1個放水」計算!$AL$48:$AX$48,◆入力◆④「1個放水」計算!$AL$54:$AX$54),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I39" s="90">
        <f ca="1">IF($U39="仕切弁",LOOKUP($I38,◆入力◆④「1個放水」計算!$AL$59:$AX$59,◆入力◆④「1個放水」計算!$AL$65:$AX$65),IF($U39="逆止弁",LOOKUP($I38,◆入力◆④「1個放水」計算!$AL$59:$AX$59,◆入力◆④「1個放水」計算!$AL$66:$AX$66),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J39" s="115"/>
      <c r="AL39" s="40"/>
      <c r="AM39" s="40"/>
      <c r="BB39" s="50"/>
    </row>
    <row r="40" spans="6:54" x14ac:dyDescent="0.15">
      <c r="F40" s="235" t="s">
        <v>31</v>
      </c>
      <c r="G40" s="40"/>
      <c r="H40" s="132"/>
      <c r="I40" s="133">
        <f ca="1">IF(I37=0,0,OFFSET(◆入力◆④「1個放水」計算!I40,$F$55-$F$56,0,1,1))</f>
        <v>0</v>
      </c>
      <c r="J40" s="121"/>
      <c r="K40" s="134"/>
      <c r="L40" s="74"/>
      <c r="M40" s="142"/>
      <c r="N40" s="76"/>
      <c r="O40" s="77">
        <f ca="1">IF(I41=0,0,"E９０°")</f>
        <v>0</v>
      </c>
      <c r="P40" s="136">
        <f ca="1">IF($F$55=0,0,OFFSET(◆入力◆④「1個放水」計算!P40,$F$55-$F$56,0,1,1))</f>
        <v>0</v>
      </c>
      <c r="Q40" s="79">
        <f ca="1">IF(I41=0,0,IF(I40="SGP-VB",LOOKUP(I41,◆入力◆④「1個放水」計算!$AL$4:$AX$4,◆入力◆④「1個放水」計算!$AL$6:$AX$6),IF(I40="SGP-PB",LOOKUP(I41,◆入力◆④「1個放水」計算!$AL$15:$AX$15,◆入力◆④「1個放水」計算!$AL$17:$AX$17),IF(I40="HIVP",LOOKUP(I41,◆入力◆④「1個放水」計算!$AL$26:$AX$26,◆入力◆④「1個放水」計算!$AL$28:$AX$28),IF(OR(I40="SGP",I40="フレキ"),LOOKUP(I41,◆入力◆④「1個放水」計算!$AL$37:$AX$37,◆入力◆④「1個放水」計算!$AL$39:$AX$39),IF(I40="SUS",LOOKUP(I41,◆入力◆④「1個放水」計算!$AL$48:$AX$48,◆入力◆④「1個放水」計算!$AL$50:$AX$50),IF(OR(I40="PE",I40="PP"),LOOKUP(I41,◆入力◆④「1個放水」計算!$AL$59:$AX$59,◆入力◆④「1個放水」計算!$AL$61:$AX$61))))))))</f>
        <v>0</v>
      </c>
      <c r="R40" s="79">
        <f t="shared" ca="1" si="0"/>
        <v>0</v>
      </c>
      <c r="S40" s="80"/>
      <c r="T40" s="81">
        <v>0</v>
      </c>
      <c r="U40" s="137">
        <f ca="1">IF($F$55=0,0,OFFSET(◆入力◆④「1個放水」計算!U40,$F$55-$F$56,0,1,1))</f>
        <v>0</v>
      </c>
      <c r="V40" s="138">
        <f ca="1">IF($F$55=0,0,OFFSET(◆入力◆④「1個放水」計算!V40,$F$55-$F$56,0,1,1))</f>
        <v>0</v>
      </c>
      <c r="W40" s="82">
        <f ca="1">IF($U40="Yスト",AC40,IF($I40="sgp-vb",AD40,IF($I40="sgp-pb",AE40,IF($I40="hivp",AF40,IF(OR($I40="sgp",$I40="フレキ"),AG40,IF($I40="sus",AH40,IF(OR($I40="PE",$I40="PP"),AI40,0)))))))</f>
        <v>0</v>
      </c>
      <c r="X40" s="82">
        <f t="shared" ca="1" si="1"/>
        <v>0</v>
      </c>
      <c r="Y40" s="83"/>
      <c r="Z40" s="84">
        <f t="shared" ref="Z40" ca="1" si="29">IF(AND($U40="電動弁",$V40=1),LOOKUP($K41,$AL$76:$BQ$76,$AL$77:$BQ$77),IF(AND($U40="逆流防止装置E",$V40=1),LOOKUP($I41,$AN$105:$AQ$105,$AN136:$AQ136),IF(AND($U40="逆流防止装置K",$V40=1),LOOKUP($I41,$AN$105:$AQ$105,$AN137:$AQ137),IF(AND($U40="逆流防止装置T",$V40=1),LOOKUP($I41,$AN$105:$AQ$105,$AN138:$AQ138),0))))</f>
        <v>0</v>
      </c>
      <c r="AA40" s="40"/>
      <c r="AB40" s="85"/>
      <c r="AC40" s="86">
        <f ca="1">IF(U40="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0" s="86">
        <f ca="1">IF($U40="仕切弁",LOOKUP($I41,◆入力◆④「1個放水」計算!$AL$4:$AX$4,◆入力◆④「1個放水」計算!$AL$9:$AX$9),IF($U40="逆止弁",LOOKUP($I41,◆入力◆④「1個放水」計算!$AL$4:$AX$4,◆入力◆④「1個放水」計算!$AL$10:$AX$10),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E40" s="86">
        <f ca="1">IF($U40="仕切弁",LOOKUP($I41,◆入力◆④「1個放水」計算!$AL$15:$AX$15,◆入力◆④「1個放水」計算!$AL$20:$AX$20),IF($U40="逆止弁",LOOKUP($I41,◆入力◆④「1個放水」計算!$AL$15:$AX$15,◆入力◆④「1個放水」計算!$AL$21:$AX$21),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F40" s="86">
        <f ca="1">IF($U40="仕切弁",LOOKUP($I41,◆入力◆④「1個放水」計算!$AL$26:$AX$26,◆入力◆④「1個放水」計算!$AL$31:$AX$31),IF($U40="逆止弁",LOOKUP($I41,◆入力◆④「1個放水」計算!$AL$26:$AX$26,◆入力◆④「1個放水」計算!$AL$32:$AX$32),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G40" s="86">
        <f ca="1">IF($U40="仕切弁",LOOKUP($I41,◆入力◆④「1個放水」計算!$AL$37:$AX$37,◆入力◆④「1個放水」計算!$AL$42:$AX$42),IF($U40="逆止弁",LOOKUP($I41,◆入力◆④「1個放水」計算!$AL$37:$AX$37,◆入力◆④「1個放水」計算!$AL$43:$AX$43),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H40" s="86">
        <f ca="1">IF($U40="仕切弁",LOOKUP($I41,◆入力◆④「1個放水」計算!$AL$48:$AX$48,◆入力◆④「1個放水」計算!$AL$53:$AX$53),IF($U40="逆止弁",LOOKUP($I41,◆入力◆④「1個放水」計算!$AL$48:$AX$48,◆入力◆④「1個放水」計算!$AL$54:$AX$54),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I40" s="86">
        <f ca="1">IF($U40="仕切弁",LOOKUP($I41,◆入力◆④「1個放水」計算!$AL$59:$AX$59,◆入力◆④「1個放水」計算!$AL$65:$AX$65),IF($U40="逆止弁",LOOKUP($I41,◆入力◆④「1個放水」計算!$AL$59:$AX$59,◆入力◆④「1個放水」計算!$AL$66:$AX$66),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J40" s="115"/>
      <c r="AL40" s="40"/>
      <c r="AM40" s="40"/>
      <c r="BB40" s="50"/>
    </row>
    <row r="41" spans="6:54" ht="14.25" customHeight="1" x14ac:dyDescent="0.15">
      <c r="F41" s="235"/>
      <c r="G41" s="40"/>
      <c r="H41" s="149">
        <f ca="1">IF($F$55=0,0,IF(H38=◆入力◆④「1個放水」計算!$H$41,0,OFFSET(◆入力◆④「1個放水」計算!H41,$F$55-$F$56,0,1,1)))</f>
        <v>0</v>
      </c>
      <c r="I41" s="140">
        <f ca="1">IF(I38=0,0,OFFSET(◆入力◆④「1個放水」計算!I41,$F$55-$F$56,0,1,1))</f>
        <v>0</v>
      </c>
      <c r="J41" s="121"/>
      <c r="K41" s="134">
        <f ca="1">IF(I41=0,0,K38)</f>
        <v>0</v>
      </c>
      <c r="L41" s="74">
        <f ca="1">IF(I41=0,0,IF(I41&gt;=65,K41^1.85*0.012/I42^4.87,ROUNDUP((0.0126+(0.01739-(0.1087*I42/100))/SQRT(4*K41/(60000*PI()*(I42/100)^2)))*(1/(I42/100))*((4*K41/(60000*PI()*(I42/100)^2))^2/(2*9.8)),4)))</f>
        <v>0</v>
      </c>
      <c r="M41" s="142">
        <f ca="1">IF($F$55=0,0,OFFSET(◆入力◆④「1個放水」計算!M41,$F$55-$F$56,0,1,1))</f>
        <v>0</v>
      </c>
      <c r="N41" s="84">
        <f ca="1">ROUNDUP(L41*M41,2)</f>
        <v>0</v>
      </c>
      <c r="O41" s="87">
        <f ca="1">IF(I41=0,0,"Ｔ直")</f>
        <v>0</v>
      </c>
      <c r="P41" s="138">
        <f ca="1">IF($F$55=0,0,OFFSET(◆入力◆④「1個放水」計算!P41,$F$55-$F$56,0,1,1))</f>
        <v>0</v>
      </c>
      <c r="Q41" s="82">
        <f ca="1">IF(I41=0,0,IF(I40="SGP-VB",LOOKUP(I41,◆入力◆④「1個放水」計算!$AL$4:$AX$4,◆入力◆④「1個放水」計算!$AL$7:$AX$7),IF(I40="SGP-PB",LOOKUP(I41,◆入力◆④「1個放水」計算!$AL$15:$AX$15,◆入力◆④「1個放水」計算!$AL$18:$AX$18),IF(I40="HIVP",LOOKUP(I41,◆入力◆④「1個放水」計算!$AL$26:$AX$26,◆入力◆④「1個放水」計算!$AL$29:$AX$29),IF(OR(I40="SGP",I40="フレキ"),LOOKUP(I41,◆入力◆④「1個放水」計算!$AL$37:$AX$37,◆入力◆④「1個放水」計算!$AL$40:$AX$40),IF(I40="SUS",LOOKUP(I41,◆入力◆④「1個放水」計算!$AL$48:$AX$48,◆入力◆④「1個放水」計算!$AL$51:$AX$51),IF(OR(I40="PE",I40="PP"),LOOKUP(I41,◆入力◆④「1個放水」計算!$AL$59:$AX$59,◆入力◆④「1個放水」計算!$AL$63:$AX$63))))))))</f>
        <v>0</v>
      </c>
      <c r="R41" s="82">
        <f t="shared" ca="1" si="0"/>
        <v>0</v>
      </c>
      <c r="S41" s="83">
        <f ca="1">R40+R41+R42</f>
        <v>0</v>
      </c>
      <c r="T41" s="84">
        <f ca="1">ROUNDUP(L41*S41,2)</f>
        <v>0</v>
      </c>
      <c r="U41" s="143">
        <f ca="1">IF($F$55=0,0,OFFSET(◆入力◆④「1個放水」計算!U41,$F$55-$F$56,0,1,1))</f>
        <v>0</v>
      </c>
      <c r="V41" s="138">
        <f ca="1">IF($F$55=0,0,OFFSET(◆入力◆④「1個放水」計算!V41,$F$55-$F$56,0,1,1))</f>
        <v>0</v>
      </c>
      <c r="W41" s="82">
        <f ca="1">IF($U41="Yスト",AC41,IF($I40="sgp-vb",AD41,IF($I40="sgp-pb",AE41,IF($I40="hivp",AF41,IF(OR($I40="sgp",$I40="フレキ"),AG41,IF($I40="sus",AH41,IF(OR($I40="PE",$I40="PP"),AI41,0)))))))</f>
        <v>0</v>
      </c>
      <c r="X41" s="82">
        <f t="shared" ca="1" si="1"/>
        <v>0</v>
      </c>
      <c r="Y41" s="83">
        <f ca="1">SUM(X40:X42)</f>
        <v>0</v>
      </c>
      <c r="Z41" s="84">
        <f t="shared" ref="Z41" ca="1" si="30">IF(AND($U41="電動弁",$V41=1),LOOKUP($K41,$AL$76:$BQ$76,$AL$77:$BQ$77),IF(AND($U41="逆流防止装置E",$V41=1),LOOKUP($I41,$AN$105:$AQ$105,$AN136:$AQ136),IF(AND($U41="逆流防止装置K",$V41=1),LOOKUP($I41,$AN$105:$AQ$105,$AN137:$AQ137),IF(AND($U41="逆流防止装置T",$V41=1),LOOKUP($I41,$AN$105:$AQ$105,$AN138:$AQ138),0))))</f>
        <v>0</v>
      </c>
      <c r="AA41" s="40"/>
      <c r="AB41" s="84">
        <f ca="1">N41+T41+Z40+Z41+Z42</f>
        <v>0</v>
      </c>
      <c r="AC41" s="89">
        <f ca="1">IF(U41="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1" s="90">
        <f ca="1">IF($U41="仕切弁",LOOKUP($I41,◆入力◆④「1個放水」計算!$AL$4:$AX$4,◆入力◆④「1個放水」計算!$AL$9:$AX$9),IF($U41="逆止弁",LOOKUP($I41,◆入力◆④「1個放水」計算!$AL$4:$AX$4,◆入力◆④「1個放水」計算!$AL$10:$AX$10),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E41" s="90">
        <f ca="1">IF($U41="仕切弁",LOOKUP($I41,◆入力◆④「1個放水」計算!$AL$15:$AX$15,◆入力◆④「1個放水」計算!$AL$20:$AX$20),IF($U41="逆止弁",LOOKUP($I41,◆入力◆④「1個放水」計算!$AL$15:$AX$15,◆入力◆④「1個放水」計算!$AL$21:$AX$21),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F41" s="90">
        <f ca="1">IF($U41="仕切弁",LOOKUP($I41,◆入力◆④「1個放水」計算!$AL$26:$AX$26,◆入力◆④「1個放水」計算!$AL$31:$AX$31),IF($U41="逆止弁",LOOKUP($I41,◆入力◆④「1個放水」計算!$AL$26:$AX$26,◆入力◆④「1個放水」計算!$AL$32:$AX$32),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G41" s="90">
        <f ca="1">IF($U41="仕切弁",LOOKUP($I41,◆入力◆④「1個放水」計算!$AL$37:$AX$37,◆入力◆④「1個放水」計算!$AL$42:$AX$42),IF($U41="逆止弁",LOOKUP($I41,◆入力◆④「1個放水」計算!$AL$37:$AX$37,◆入力◆④「1個放水」計算!$AL$43:$AX$43),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H41" s="90">
        <f ca="1">IF($U41="仕切弁",LOOKUP($I41,◆入力◆④「1個放水」計算!$AL$48:$AX$48,◆入力◆④「1個放水」計算!$AL$53:$AX$53),IF($U41="逆止弁",LOOKUP($I41,◆入力◆④「1個放水」計算!$AL$48:$AX$48,◆入力◆④「1個放水」計算!$AL$54:$AX$54),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I41" s="90">
        <f ca="1">IF($U41="仕切弁",LOOKUP($I41,◆入力◆④「1個放水」計算!$AL$59:$AX$59,◆入力◆④「1個放水」計算!$AL$65:$AX$65),IF($U41="逆止弁",LOOKUP($I41,◆入力◆④「1個放水」計算!$AL$59:$AX$59,◆入力◆④「1個放水」計算!$AL$66:$AX$66),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J41" s="115"/>
      <c r="AL41" s="40"/>
      <c r="AM41" s="40"/>
      <c r="BB41" s="50"/>
    </row>
    <row r="42" spans="6:54" ht="15" thickBot="1" x14ac:dyDescent="0.2">
      <c r="F42" s="236"/>
      <c r="G42" s="40"/>
      <c r="H42" s="145"/>
      <c r="I42" s="146" t="b">
        <f ca="1">IF(I41="",0,IF(I40="SGP-VB",LOOKUP(I41,◆入力◆④「1個放水」計算!$AL$4:$AX$4,◆入力◆④「1個放水」計算!$AL$5:$AX$5),IF(I40="SGP-PB",LOOKUP(I41,◆入力◆④「1個放水」計算!$AL$15:$AX$15,◆入力◆④「1個放水」計算!$AL$16:$AX$16),IF(I40="HIVP",LOOKUP(I41,◆入力◆④「1個放水」計算!$AL$26:$AX$26,◆入力◆④「1個放水」計算!$AL$27:$AX$27),IF(OR(I40="SGP",I40="フレキ"),LOOKUP(I41,◆入力◆④「1個放水」計算!$AL$37:$AX$37,◆入力◆④「1個放水」計算!$AL$38:$AX$38),IF(I40="SUS",LOOKUP(I41,◆入力◆④「1個放水」計算!$AL$48:$AX$48,◆入力◆④「1個放水」計算!$AL$49:$AX$49),IF(OR(I40="PE",I40="PP"),LOOKUP(I41,◆入力◆④「1個放水」計算!$AL$59:$AX$59,◆入力◆④「1個放水」計算!$AL$60:$AX$60))))))))</f>
        <v>0</v>
      </c>
      <c r="J42" s="121"/>
      <c r="K42" s="150"/>
      <c r="L42" s="98"/>
      <c r="M42" s="151"/>
      <c r="N42" s="110"/>
      <c r="O42" s="111">
        <f ca="1">IF(I41=0,0,"Ｔ分")</f>
        <v>0</v>
      </c>
      <c r="P42" s="152">
        <f ca="1">IF($F$55=0,0,OFFSET(◆入力◆④「1個放水」計算!P42,$F$55-$F$56,0,1,1))</f>
        <v>0</v>
      </c>
      <c r="Q42" s="100">
        <f ca="1">IF(I41=0,0,IF(I40="SGP-VB",LOOKUP(I41,◆入力◆④「1個放水」計算!$AL$4:$AX$4,◆入力◆④「1個放水」計算!$AL$8:$AX$8),IF(I40="SGP-PB",LOOKUP(I41,◆入力◆④「1個放水」計算!$AL$15:$AX$15,◆入力◆④「1個放水」計算!$AL$19:$AX$19),IF(I40="HIVP",LOOKUP(I41,◆入力◆④「1個放水」計算!$AL$26:$AX$26,◆入力◆④「1個放水」計算!$AL$30:$AX$30),IF(OR(I40="SGP",I40="フレキ"),LOOKUP(I41,◆入力◆④「1個放水」計算!$AL$37:$AX$37,◆入力◆④「1個放水」計算!$AL$41:$AX$41),IF(I40="SUS",LOOKUP(I41,◆入力◆④「1個放水」計算!$AL$48:$AX$48,◆入力◆④「1個放水」計算!$AL$52:$AX$52),IF(OR(I40="PE",I40="PP"),LOOKUP(I41,◆入力◆④「1個放水」計算!$AL$59:$AX$59,◆入力◆④「1個放水」計算!$AL$64:$AX$64))))))))</f>
        <v>0</v>
      </c>
      <c r="R42" s="100">
        <f t="shared" ca="1" si="0"/>
        <v>0</v>
      </c>
      <c r="S42" s="101"/>
      <c r="T42" s="112"/>
      <c r="U42" s="147">
        <f ca="1">IF($F$55=0,0,OFFSET(◆入力◆④「1個放水」計算!U42,$F$55-$F$56,0,1,1))</f>
        <v>0</v>
      </c>
      <c r="V42" s="152">
        <f ca="1">IF($F$55=0,0,OFFSET(◆入力◆④「1個放水」計算!V42,$F$55-$F$56,0,1,1))</f>
        <v>0</v>
      </c>
      <c r="W42" s="100">
        <f ca="1">IF($U42="Yスト",AC42,IF($I40="sgp-vb",AD42,IF($I40="sgp-pb",AE42,IF($I40="hivp",AF42,IF(OR($I40="sgp",$I40="フレキ"),AG42,IF($I40="sus",AH42,IF(OR($I40="PE",$I40="PP"),AI42,0)))))))</f>
        <v>0</v>
      </c>
      <c r="X42" s="100">
        <f t="shared" ca="1" si="1"/>
        <v>0</v>
      </c>
      <c r="Y42" s="101"/>
      <c r="Z42" s="112">
        <f t="shared" ref="Z42" ca="1" si="31">ROUNDUP(L41*Y41,2)</f>
        <v>0</v>
      </c>
      <c r="AA42" s="40"/>
      <c r="AB42" s="110"/>
      <c r="AC42" s="113">
        <f ca="1">IF(U42="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2" s="114">
        <f ca="1">IF($U42="仕切弁",LOOKUP($I41,◆入力◆④「1個放水」計算!$AL$4:$AX$4,◆入力◆④「1個放水」計算!$AL$9:$AX$9),IF($U42="逆止弁",LOOKUP($I41,◆入力◆④「1個放水」計算!$AL$4:$AX$4,◆入力◆④「1個放水」計算!$AL$10:$AX$10),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E42" s="114">
        <f ca="1">IF($U42="仕切弁",LOOKUP($I41,◆入力◆④「1個放水」計算!$AL$15:$AX$15,◆入力◆④「1個放水」計算!$AL$20:$AX$20),IF($U42="逆止弁",LOOKUP($I41,◆入力◆④「1個放水」計算!$AL$15:$AX$15,◆入力◆④「1個放水」計算!$AL$21:$AX$21),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F42" s="114">
        <f ca="1">IF($U42="仕切弁",LOOKUP($I41,◆入力◆④「1個放水」計算!$AL$26:$AX$26,◆入力◆④「1個放水」計算!$AL$31:$AX$31),IF($U42="逆止弁",LOOKUP($I41,◆入力◆④「1個放水」計算!$AL$26:$AX$26,◆入力◆④「1個放水」計算!$AL$32:$AX$32),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G42" s="114">
        <f ca="1">IF($U42="仕切弁",LOOKUP($I41,◆入力◆④「1個放水」計算!$AL$37:$AX$37,◆入力◆④「1個放水」計算!$AL$42:$AX$42),IF($U42="逆止弁",LOOKUP($I41,◆入力◆④「1個放水」計算!$AL$37:$AX$37,◆入力◆④「1個放水」計算!$AL$43:$AX$43),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H42" s="114">
        <f ca="1">IF($U42="仕切弁",LOOKUP($I41,◆入力◆④「1個放水」計算!$AL$48:$AX$48,◆入力◆④「1個放水」計算!$AL$53:$AX$53),IF($U42="逆止弁",LOOKUP($I41,◆入力◆④「1個放水」計算!$AL$48:$AX$48,◆入力◆④「1個放水」計算!$AL$54:$AX$54),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I42" s="114">
        <f ca="1">IF($U42="仕切弁",LOOKUP($I41,◆入力◆④「1個放水」計算!$AL$59:$AX$59,◆入力◆④「1個放水」計算!$AL$65:$AX$65),IF($U42="逆止弁",LOOKUP($I41,◆入力◆④「1個放水」計算!$AL$59:$AX$59,◆入力◆④「1個放水」計算!$AL$66:$AX$66),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J42" s="115"/>
      <c r="AL42" s="40"/>
      <c r="AM42" s="40"/>
      <c r="BB42" s="50"/>
    </row>
    <row r="43" spans="6:54" ht="17.25" customHeight="1" thickBot="1" x14ac:dyDescent="0.2">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115"/>
      <c r="AF43" s="115"/>
      <c r="AG43" s="115"/>
      <c r="AH43" s="115"/>
      <c r="AI43" s="115"/>
      <c r="AJ43" s="115"/>
      <c r="AL43" s="40"/>
      <c r="AM43" s="40"/>
      <c r="BB43" s="50"/>
    </row>
    <row r="44" spans="6:54" ht="18" customHeight="1" thickBot="1" x14ac:dyDescent="0.2">
      <c r="F44" s="40"/>
      <c r="G44" s="40"/>
      <c r="H44" s="64" t="s">
        <v>20</v>
      </c>
      <c r="I44" s="53"/>
      <c r="J44" s="40"/>
      <c r="K44" s="40"/>
      <c r="L44" s="40"/>
      <c r="M44" s="40"/>
      <c r="N44" s="116">
        <f ca="1">IF(OR(L46="h",L46="xs",L46="ｈ",L46="ｘｓ"),(N11+N14+N17+N20+N23+N26+N29+N32+N35+N38+N41)*1.1,N11+N14+N17+N20+N23+N26+N29+N32+N35+N38+N41)</f>
        <v>0</v>
      </c>
      <c r="O44" s="40"/>
      <c r="P44" s="40"/>
      <c r="Q44" s="40"/>
      <c r="R44" s="40"/>
      <c r="S44" s="40"/>
      <c r="T44" s="116">
        <f ca="1">IF(OR(L46="h",L46="xs",L46="ｈ",L46="ｘｓ"),(T10+T11+T14+T17+T20+T23+T26+T29+T32+T35+T38+T41)*1.1,T10+T11+T14+T17+T20+T23+T26+T29+T32+T35+T38+T41)</f>
        <v>0</v>
      </c>
      <c r="U44" s="40"/>
      <c r="V44" s="40"/>
      <c r="W44" s="40"/>
      <c r="X44" s="40"/>
      <c r="Y44" s="40"/>
      <c r="Z44" s="116">
        <f ca="1">SUM(Z10:Z42)</f>
        <v>0</v>
      </c>
      <c r="AA44" s="40"/>
      <c r="AB44" s="116">
        <f ca="1">N44+T44+Z44</f>
        <v>0</v>
      </c>
      <c r="AC44" s="88"/>
      <c r="AD44" s="40"/>
      <c r="AE44" s="40"/>
      <c r="AF44" s="40"/>
      <c r="AG44" s="40"/>
      <c r="AH44" s="40"/>
      <c r="AI44" s="40"/>
      <c r="AJ44" s="40"/>
      <c r="AL44" s="40"/>
      <c r="AM44" s="40"/>
      <c r="BB44" s="50"/>
    </row>
    <row r="45" spans="6:54" ht="17.100000000000001" customHeight="1" x14ac:dyDescent="0.15">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L45" s="40"/>
      <c r="AM45" s="40"/>
      <c r="BB45" s="50"/>
    </row>
    <row r="46" spans="6:54" ht="20.100000000000001" customHeight="1" x14ac:dyDescent="0.15">
      <c r="F46" s="64" t="s">
        <v>32</v>
      </c>
      <c r="G46" s="66"/>
      <c r="H46" s="53"/>
      <c r="I46" s="155">
        <f ca="1">IF(L47="*1.1",ROUNDUP(AB44*1.1,2),IF(L47="＊１．１",ROUNDUP(AB44*1.1,2),IF(L47="*1.15",ROUNDUP(AB44*1.15,2),IF(L47="＊１．１５",ROUNDUP(AB44*1.15,2),AB44))))</f>
        <v>0</v>
      </c>
      <c r="J46" s="60"/>
      <c r="K46" s="362" t="s">
        <v>33</v>
      </c>
      <c r="L46" s="118" t="s">
        <v>43</v>
      </c>
      <c r="M46" s="54"/>
      <c r="N46" s="54"/>
      <c r="O46" s="40"/>
      <c r="P46" s="40"/>
      <c r="Q46" s="40"/>
      <c r="R46" s="40"/>
      <c r="S46" s="40"/>
      <c r="T46" s="40"/>
      <c r="U46" s="40"/>
      <c r="V46" s="40"/>
      <c r="W46" s="40"/>
      <c r="X46" s="40"/>
      <c r="Y46" s="40"/>
      <c r="Z46" s="40"/>
      <c r="AA46" s="40"/>
      <c r="AB46" s="40"/>
      <c r="AC46" s="40"/>
      <c r="AD46" s="40"/>
      <c r="AE46" s="40"/>
      <c r="AF46" s="40"/>
      <c r="AG46" s="40"/>
      <c r="AH46" s="40"/>
      <c r="AI46" s="40"/>
      <c r="AJ46" s="40"/>
      <c r="BB46" s="50"/>
    </row>
    <row r="47" spans="6:54" ht="20.100000000000001" customHeight="1" x14ac:dyDescent="0.15">
      <c r="F47" s="119" t="s">
        <v>49</v>
      </c>
      <c r="G47" s="54"/>
      <c r="H47" s="120"/>
      <c r="I47" s="156">
        <v>0</v>
      </c>
      <c r="J47" s="40"/>
      <c r="K47" s="362" t="s">
        <v>33</v>
      </c>
      <c r="L47" s="122">
        <f>IF(L46="S",0,IF(L46="Ｓ",0,IF(L46="F",0,IF(L46="Ｆ",0,IF(L46="*1.1","*1.1",IF(L46="＊１．１","*1.1",IF(L46="*1.15","*1.15",IF(L46="＊１．１５","*1.15",0))))))))</f>
        <v>0</v>
      </c>
      <c r="M47" s="54"/>
      <c r="N47" s="54"/>
      <c r="O47" s="40"/>
      <c r="P47" s="40"/>
      <c r="Q47" s="40"/>
      <c r="R47" s="40"/>
      <c r="S47" s="40"/>
      <c r="T47" s="40"/>
      <c r="U47" s="40"/>
      <c r="V47" s="40"/>
      <c r="W47" s="40"/>
      <c r="X47" s="40"/>
      <c r="Y47" s="40"/>
      <c r="Z47" s="40"/>
      <c r="AA47" s="40"/>
      <c r="AB47" s="40"/>
      <c r="AC47" s="40"/>
      <c r="AD47" s="40"/>
      <c r="AE47" s="40"/>
      <c r="AF47" s="40"/>
      <c r="AG47" s="40"/>
      <c r="AH47" s="40"/>
      <c r="AI47" s="40"/>
      <c r="AJ47" s="40"/>
      <c r="BB47" s="50"/>
    </row>
    <row r="48" spans="6:54" ht="20.100000000000001" customHeight="1" x14ac:dyDescent="0.15">
      <c r="F48" s="64" t="s">
        <v>34</v>
      </c>
      <c r="G48" s="66"/>
      <c r="H48" s="53"/>
      <c r="I48" s="162">
        <f>◆入力◆①配管容量!J47</f>
        <v>0</v>
      </c>
      <c r="J48" s="60"/>
      <c r="K48" s="362" t="s">
        <v>33</v>
      </c>
      <c r="L48" s="40"/>
      <c r="M48" s="40"/>
      <c r="N48" s="40"/>
      <c r="O48" s="363"/>
      <c r="P48" s="40"/>
      <c r="Q48" s="123"/>
      <c r="R48" s="363"/>
      <c r="S48" s="40"/>
      <c r="T48" s="123"/>
      <c r="U48" s="54"/>
      <c r="V48" s="54"/>
      <c r="W48" s="123"/>
      <c r="X48" s="123"/>
      <c r="Y48" s="54"/>
      <c r="Z48" s="54"/>
      <c r="AA48" s="54"/>
      <c r="AB48" s="123"/>
      <c r="AC48" s="123"/>
      <c r="AD48" s="40"/>
      <c r="AE48" s="40"/>
      <c r="AF48" s="40"/>
      <c r="AG48" s="40"/>
      <c r="AH48" s="40"/>
      <c r="AI48" s="40"/>
      <c r="AJ48" s="40"/>
      <c r="BB48" s="50"/>
    </row>
    <row r="49" spans="6:54" ht="20.100000000000001" customHeight="1" x14ac:dyDescent="0.15">
      <c r="F49" s="119" t="s">
        <v>35</v>
      </c>
      <c r="G49" s="54"/>
      <c r="H49" s="120"/>
      <c r="I49" s="157">
        <f ca="1">SUM(I46:I48)</f>
        <v>0</v>
      </c>
      <c r="J49" s="40"/>
      <c r="K49" s="362" t="s">
        <v>33</v>
      </c>
      <c r="L49" s="40"/>
      <c r="M49" s="40"/>
      <c r="N49" s="40"/>
      <c r="O49" s="40"/>
      <c r="P49" s="40"/>
      <c r="Q49" s="54"/>
      <c r="R49" s="54"/>
      <c r="S49" s="54"/>
      <c r="T49" s="54"/>
      <c r="U49" s="54"/>
      <c r="V49" s="54"/>
      <c r="W49" s="54"/>
      <c r="X49" s="54"/>
      <c r="Y49" s="54"/>
      <c r="Z49" s="54"/>
      <c r="AA49" s="54"/>
      <c r="AB49" s="40"/>
      <c r="AC49" s="40"/>
      <c r="AD49" s="40"/>
      <c r="AE49" s="40"/>
      <c r="AF49" s="40"/>
      <c r="AG49" s="40"/>
      <c r="AH49" s="40"/>
      <c r="AI49" s="40"/>
      <c r="AJ49" s="40"/>
      <c r="BB49" s="50"/>
    </row>
    <row r="50" spans="6:54" ht="20.100000000000001" customHeight="1" x14ac:dyDescent="0.15">
      <c r="F50" s="64" t="s">
        <v>57</v>
      </c>
      <c r="G50" s="66"/>
      <c r="H50" s="53"/>
      <c r="I50" s="158">
        <v>1.1000000000000001</v>
      </c>
      <c r="J50" s="60"/>
      <c r="K50" s="362"/>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BB50" s="50"/>
    </row>
    <row r="51" spans="6:54" ht="20.100000000000001" customHeight="1" x14ac:dyDescent="0.15">
      <c r="F51" s="406" t="s">
        <v>79</v>
      </c>
      <c r="G51" s="407"/>
      <c r="H51" s="408"/>
      <c r="I51" s="217">
        <f ca="1">ROUNDUP(I49*I50,2)</f>
        <v>0</v>
      </c>
      <c r="J51" s="60"/>
      <c r="K51" s="362" t="s">
        <v>80</v>
      </c>
      <c r="L51" s="40"/>
      <c r="M51" s="54"/>
      <c r="N51" s="54"/>
      <c r="O51" s="40"/>
      <c r="P51" s="40"/>
      <c r="Q51" s="40"/>
      <c r="R51" s="40"/>
      <c r="S51" s="40"/>
      <c r="T51" s="40"/>
      <c r="U51" s="40"/>
      <c r="V51" s="40"/>
      <c r="W51" s="40"/>
      <c r="X51" s="40"/>
      <c r="Y51" s="40"/>
      <c r="Z51" s="40"/>
      <c r="AA51" s="40"/>
      <c r="AB51" s="40"/>
      <c r="AC51" s="40"/>
      <c r="AD51" s="40"/>
      <c r="AE51" s="40"/>
      <c r="AF51" s="40"/>
      <c r="AG51" s="40"/>
      <c r="AH51" s="40"/>
      <c r="AI51" s="40"/>
      <c r="AJ51" s="40"/>
      <c r="BB51" s="50"/>
    </row>
    <row r="52" spans="6:54" ht="20.100000000000001" customHeight="1" x14ac:dyDescent="0.15">
      <c r="F52" s="40"/>
      <c r="G52" s="40"/>
      <c r="H52" s="40"/>
      <c r="I52" s="40"/>
      <c r="J52" s="40"/>
      <c r="K52" s="56"/>
      <c r="L52" s="40"/>
      <c r="M52" s="54"/>
      <c r="N52" s="54"/>
      <c r="O52" s="40"/>
      <c r="P52" s="40"/>
      <c r="Q52" s="40"/>
      <c r="R52" s="40"/>
      <c r="S52" s="40"/>
      <c r="T52" s="40"/>
      <c r="U52" s="40"/>
      <c r="V52" s="40"/>
      <c r="W52" s="40"/>
      <c r="X52" s="40"/>
      <c r="Y52" s="40"/>
      <c r="Z52" s="40"/>
      <c r="AA52" s="40"/>
      <c r="AB52" s="40"/>
      <c r="AC52" s="40"/>
      <c r="AD52" s="40"/>
      <c r="AE52" s="40"/>
      <c r="AF52" s="40"/>
      <c r="AG52" s="40"/>
      <c r="AH52" s="40"/>
      <c r="AI52" s="40"/>
      <c r="AJ52" s="40"/>
      <c r="BB52" s="50"/>
    </row>
    <row r="53" spans="6:54" ht="20.100000000000001" customHeight="1" x14ac:dyDescent="0.15">
      <c r="F53" s="409" t="s">
        <v>50</v>
      </c>
      <c r="G53" s="415"/>
      <c r="H53" s="416"/>
      <c r="I53" s="217">
        <f ca="1">ROUNDUP(I51/100,2)</f>
        <v>0</v>
      </c>
      <c r="J53" s="60"/>
      <c r="K53" s="362" t="str">
        <f>"MPa"</f>
        <v>MPa</v>
      </c>
      <c r="L53" s="40"/>
      <c r="M53" s="54"/>
      <c r="N53" s="54"/>
      <c r="O53" s="40"/>
      <c r="P53" s="40"/>
      <c r="Q53" s="40"/>
      <c r="R53" s="40"/>
      <c r="S53" s="40"/>
      <c r="T53" s="40"/>
      <c r="U53" s="40"/>
      <c r="V53" s="40"/>
      <c r="W53" s="40"/>
      <c r="X53" s="40"/>
      <c r="Y53" s="40"/>
      <c r="Z53" s="40"/>
      <c r="AA53" s="40"/>
      <c r="AB53" s="40"/>
      <c r="AC53" s="40"/>
      <c r="AD53" s="40"/>
      <c r="AE53" s="40"/>
      <c r="AF53" s="40"/>
      <c r="AG53" s="40"/>
      <c r="AH53" s="40"/>
      <c r="AI53" s="40"/>
      <c r="AJ53" s="40"/>
      <c r="BB53" s="50"/>
    </row>
    <row r="54" spans="6:54" ht="20.100000000000001" customHeight="1" x14ac:dyDescent="0.15">
      <c r="F54" s="159" t="e">
        <f>MATCH("電動弁",◆入力◆④「1個放水」計算!U10:U42,0)</f>
        <v>#N/A</v>
      </c>
      <c r="G54" s="54"/>
      <c r="H54" s="54"/>
      <c r="I54" s="88"/>
      <c r="J54" s="40"/>
      <c r="K54" s="363"/>
      <c r="L54" s="40"/>
      <c r="M54" s="54"/>
      <c r="N54" s="54"/>
      <c r="O54" s="40"/>
      <c r="P54" s="40"/>
      <c r="Q54" s="40"/>
      <c r="R54" s="40"/>
      <c r="S54" s="40"/>
      <c r="T54" s="40"/>
      <c r="U54" s="40"/>
      <c r="V54" s="40"/>
      <c r="W54" s="40"/>
      <c r="X54" s="40"/>
      <c r="Y54" s="40"/>
      <c r="Z54" s="40"/>
      <c r="AA54" s="40"/>
      <c r="AB54" s="40"/>
      <c r="AC54" s="40"/>
      <c r="AD54" s="40"/>
      <c r="AE54" s="40"/>
      <c r="AF54" s="40"/>
      <c r="AG54" s="40"/>
      <c r="AH54" s="40"/>
      <c r="AI54" s="40"/>
      <c r="AJ54" s="40"/>
      <c r="BB54" s="50"/>
    </row>
    <row r="55" spans="6:54" ht="20.100000000000001" customHeight="1" x14ac:dyDescent="0.15">
      <c r="F55" s="160">
        <f>IF(ISERROR(F54),0,F54)</f>
        <v>0</v>
      </c>
      <c r="G55" s="54"/>
      <c r="H55" s="54"/>
      <c r="I55" s="40"/>
      <c r="J55" s="40"/>
      <c r="K55" s="52"/>
      <c r="L55" s="40"/>
      <c r="M55" s="54"/>
      <c r="N55" s="54"/>
      <c r="O55" s="40"/>
      <c r="P55" s="40"/>
      <c r="Q55" s="40"/>
      <c r="R55" s="40"/>
      <c r="S55" s="40"/>
      <c r="T55" s="40"/>
      <c r="U55" s="40"/>
      <c r="V55" s="40"/>
      <c r="W55" s="40"/>
      <c r="X55" s="40"/>
      <c r="Y55" s="40"/>
      <c r="Z55" s="40"/>
      <c r="AA55" s="40"/>
      <c r="AB55" s="40"/>
      <c r="AC55" s="40"/>
      <c r="AD55" s="40"/>
      <c r="AE55" s="40"/>
      <c r="AF55" s="40"/>
      <c r="AG55" s="40"/>
      <c r="AH55" s="40"/>
      <c r="AI55" s="40"/>
      <c r="AJ55" s="40"/>
      <c r="BB55" s="50"/>
    </row>
    <row r="56" spans="6:54" ht="20.100000000000001" customHeight="1" x14ac:dyDescent="0.15">
      <c r="F56" s="160">
        <f>IF(MOD(F55,3)=0,3,MOD(F55,3))</f>
        <v>3</v>
      </c>
      <c r="G56" s="54"/>
      <c r="H56" s="54"/>
      <c r="I56" s="40"/>
      <c r="J56" s="40"/>
      <c r="K56" s="52"/>
      <c r="L56" s="40"/>
      <c r="M56" s="54"/>
      <c r="N56" s="54"/>
      <c r="O56" s="40"/>
      <c r="P56" s="40"/>
      <c r="Q56" s="40"/>
      <c r="R56" s="40"/>
      <c r="S56" s="40"/>
      <c r="T56" s="40"/>
      <c r="U56" s="40"/>
      <c r="V56" s="40"/>
      <c r="W56" s="40"/>
      <c r="X56" s="40"/>
      <c r="Y56" s="40"/>
      <c r="Z56" s="40"/>
      <c r="AA56" s="40"/>
      <c r="AB56" s="40"/>
      <c r="AC56" s="40"/>
      <c r="AD56" s="40"/>
      <c r="AE56" s="40"/>
      <c r="AF56" s="40"/>
      <c r="AG56" s="40"/>
      <c r="AH56" s="40"/>
      <c r="AI56" s="40"/>
      <c r="AJ56" s="40"/>
      <c r="BB56" s="50"/>
    </row>
    <row r="57" spans="6:54" ht="20.100000000000001" customHeight="1" x14ac:dyDescent="0.15">
      <c r="F57" s="54"/>
      <c r="G57" s="54"/>
      <c r="H57" s="54"/>
      <c r="I57" s="40"/>
      <c r="J57" s="40"/>
      <c r="K57" s="52"/>
      <c r="L57" s="40"/>
      <c r="M57" s="54"/>
      <c r="N57" s="54"/>
      <c r="O57" s="40"/>
      <c r="P57" s="40"/>
      <c r="Q57" s="40"/>
      <c r="R57" s="40"/>
      <c r="S57" s="40"/>
      <c r="T57" s="40"/>
      <c r="U57" s="40"/>
      <c r="V57" s="40"/>
      <c r="W57" s="40"/>
      <c r="X57" s="40"/>
      <c r="Y57" s="40"/>
      <c r="Z57" s="40"/>
      <c r="AA57" s="40"/>
      <c r="AB57" s="40"/>
      <c r="AC57" s="40"/>
      <c r="AD57" s="40"/>
      <c r="AE57" s="40"/>
      <c r="AF57" s="40"/>
      <c r="AG57" s="40"/>
      <c r="AH57" s="40"/>
      <c r="AI57" s="40"/>
      <c r="AJ57" s="40"/>
      <c r="BB57" s="50"/>
    </row>
    <row r="58" spans="6:54" ht="20.100000000000001" customHeight="1" x14ac:dyDescent="0.15">
      <c r="F58" s="54"/>
      <c r="G58" s="54"/>
      <c r="H58" s="54"/>
      <c r="I58" s="40"/>
      <c r="J58" s="40"/>
      <c r="K58" s="52"/>
      <c r="L58" s="40"/>
      <c r="M58" s="54"/>
      <c r="N58" s="54"/>
      <c r="O58" s="40"/>
      <c r="P58" s="40"/>
      <c r="Q58" s="40"/>
      <c r="R58" s="40"/>
      <c r="S58" s="40"/>
      <c r="T58" s="40"/>
      <c r="U58" s="40"/>
      <c r="V58" s="40"/>
      <c r="W58" s="40"/>
      <c r="X58" s="40"/>
      <c r="Y58" s="40"/>
      <c r="Z58" s="40"/>
      <c r="AA58" s="40"/>
      <c r="AB58" s="40"/>
      <c r="AC58" s="40"/>
      <c r="AD58" s="40"/>
      <c r="AE58" s="40"/>
      <c r="AF58" s="40"/>
      <c r="AG58" s="40"/>
      <c r="AH58" s="40"/>
      <c r="AI58" s="40"/>
      <c r="AJ58" s="40"/>
      <c r="BB58" s="50"/>
    </row>
    <row r="59" spans="6:54" ht="20.100000000000001" customHeight="1" x14ac:dyDescent="0.15">
      <c r="F59" s="54"/>
      <c r="G59" s="54"/>
      <c r="H59" s="54"/>
      <c r="I59" s="40"/>
      <c r="J59" s="40"/>
      <c r="K59" s="52"/>
      <c r="L59" s="40"/>
      <c r="M59" s="54"/>
      <c r="N59" s="54"/>
      <c r="O59" s="40"/>
      <c r="P59" s="40"/>
      <c r="Q59" s="40"/>
      <c r="R59" s="40"/>
      <c r="S59" s="40"/>
      <c r="T59" s="40"/>
      <c r="U59" s="40"/>
      <c r="V59" s="40"/>
      <c r="W59" s="40"/>
      <c r="X59" s="40"/>
      <c r="Y59" s="40"/>
      <c r="Z59" s="40"/>
      <c r="AA59" s="40"/>
      <c r="AB59" s="40"/>
      <c r="AC59" s="40"/>
      <c r="AD59" s="40"/>
      <c r="AE59" s="40"/>
      <c r="AF59" s="40"/>
      <c r="AG59" s="40"/>
      <c r="AH59" s="40"/>
      <c r="AI59" s="40"/>
      <c r="AJ59" s="40"/>
      <c r="BB59" s="50"/>
    </row>
    <row r="60" spans="6:54" ht="20.100000000000001" customHeight="1" x14ac:dyDescent="0.15">
      <c r="F60" s="52"/>
      <c r="G60" s="52"/>
      <c r="H60" s="161"/>
      <c r="I60" s="123"/>
      <c r="J60" s="52"/>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BB60" s="50"/>
    </row>
    <row r="61" spans="6:54" ht="20.100000000000001" customHeight="1" x14ac:dyDescent="0.15">
      <c r="F61" s="52"/>
      <c r="G61" s="52"/>
      <c r="H61" s="161"/>
      <c r="I61" s="123"/>
      <c r="J61" s="5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BB61" s="50"/>
    </row>
    <row r="62" spans="6:54" ht="20.100000000000001" customHeight="1" x14ac:dyDescent="0.15">
      <c r="F62" s="52"/>
      <c r="G62" s="52"/>
      <c r="H62" s="161"/>
      <c r="I62" s="123"/>
      <c r="J62" s="5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BB62" s="50"/>
    </row>
    <row r="63" spans="6:54" ht="20.100000000000001" customHeight="1" x14ac:dyDescent="0.15">
      <c r="L63" s="52"/>
      <c r="M63" s="52"/>
      <c r="N63" s="161"/>
      <c r="O63" s="123"/>
      <c r="P63" s="52"/>
      <c r="Q63" s="40"/>
      <c r="R63" s="123"/>
      <c r="BB63" s="50"/>
    </row>
    <row r="64" spans="6:54" ht="15" customHeight="1" x14ac:dyDescent="0.15">
      <c r="BB64" s="50"/>
    </row>
    <row r="65" spans="37:69" ht="15" customHeight="1" x14ac:dyDescent="0.15">
      <c r="BB65" s="50"/>
    </row>
    <row r="66" spans="37:69" ht="15" customHeight="1" x14ac:dyDescent="0.15">
      <c r="BB66" s="50"/>
    </row>
    <row r="67" spans="37:69" ht="15" customHeight="1" x14ac:dyDescent="0.15">
      <c r="BB67" s="50"/>
    </row>
    <row r="68" spans="37:69" ht="15" customHeight="1" x14ac:dyDescent="0.15">
      <c r="BB68" s="50"/>
    </row>
    <row r="69" spans="37:69" ht="15" customHeight="1" x14ac:dyDescent="0.15">
      <c r="BB69" s="50"/>
    </row>
    <row r="70" spans="37:69" ht="15" customHeight="1" x14ac:dyDescent="0.15">
      <c r="BB70" s="50"/>
    </row>
    <row r="71" spans="37:69" ht="15" customHeight="1" x14ac:dyDescent="0.15">
      <c r="BB71" s="50"/>
    </row>
    <row r="72" spans="37:69" ht="15" customHeight="1" x14ac:dyDescent="0.15">
      <c r="BB72" s="50"/>
    </row>
    <row r="73" spans="37:69" ht="15" customHeight="1" x14ac:dyDescent="0.15">
      <c r="BB73" s="50"/>
    </row>
    <row r="74" spans="37:69" ht="15" customHeight="1" x14ac:dyDescent="0.15">
      <c r="BB74" s="50"/>
    </row>
    <row r="75" spans="37:69" ht="15" customHeight="1" x14ac:dyDescent="0.15">
      <c r="AK75" s="105" t="s">
        <v>78</v>
      </c>
      <c r="BG75" s="40"/>
    </row>
    <row r="76" spans="37:69" ht="15" customHeight="1" x14ac:dyDescent="0.15">
      <c r="AK76" s="102" t="s">
        <v>71</v>
      </c>
      <c r="AL76" s="102">
        <v>9.9999999999999994E-12</v>
      </c>
      <c r="AM76" s="102">
        <v>15.000000000000099</v>
      </c>
      <c r="AN76" s="102">
        <v>20.000000000000099</v>
      </c>
      <c r="AO76" s="102">
        <v>25.000000000000099</v>
      </c>
      <c r="AP76" s="102">
        <v>30.000000000000099</v>
      </c>
      <c r="AQ76" s="102">
        <v>35.000000000000099</v>
      </c>
      <c r="AR76" s="102">
        <v>40.000000000000099</v>
      </c>
      <c r="AS76" s="102">
        <v>45.000000000000099</v>
      </c>
      <c r="AT76" s="102">
        <v>50.000000000000099</v>
      </c>
      <c r="AU76" s="102">
        <v>55.000000000000099</v>
      </c>
      <c r="AV76" s="102">
        <v>60.000000000000099</v>
      </c>
      <c r="AW76" s="102">
        <v>65.000000000000099</v>
      </c>
      <c r="AX76" s="102">
        <v>70.000000000000099</v>
      </c>
      <c r="AY76" s="102">
        <v>75.000000000000099</v>
      </c>
      <c r="AZ76" s="102">
        <v>80.000000000000099</v>
      </c>
      <c r="BA76" s="102">
        <v>85.000000000000099</v>
      </c>
      <c r="BB76" s="102">
        <v>90.000000000000099</v>
      </c>
      <c r="BC76" s="102">
        <v>95.000000000000099</v>
      </c>
      <c r="BD76" s="102">
        <v>100.0000000000001</v>
      </c>
      <c r="BE76" s="102">
        <v>105.0000000000001</v>
      </c>
      <c r="BF76" s="102">
        <v>110.0000000000001</v>
      </c>
      <c r="BG76" s="102">
        <v>115.0000000000001</v>
      </c>
      <c r="BH76" s="102">
        <v>120.0000000000001</v>
      </c>
      <c r="BI76" s="102">
        <v>125.0000000000001</v>
      </c>
      <c r="BJ76" s="102">
        <v>130.00000000000011</v>
      </c>
      <c r="BK76" s="102">
        <v>135.00000000000011</v>
      </c>
      <c r="BL76" s="102">
        <v>140.00000000000011</v>
      </c>
      <c r="BM76" s="102">
        <v>150.00000000000011</v>
      </c>
      <c r="BN76" s="102">
        <v>160.00000000000011</v>
      </c>
      <c r="BO76" s="102">
        <v>170.00000000000011</v>
      </c>
      <c r="BP76" s="102">
        <v>180.00000000000011</v>
      </c>
      <c r="BQ76" s="102">
        <v>190.00000009999999</v>
      </c>
    </row>
    <row r="77" spans="37:69" ht="15" customHeight="1" x14ac:dyDescent="0.15">
      <c r="AK77" s="102" t="s">
        <v>72</v>
      </c>
      <c r="AL77" s="184">
        <v>0.1</v>
      </c>
      <c r="AM77" s="184">
        <v>0.1</v>
      </c>
      <c r="AN77" s="184">
        <v>0.1</v>
      </c>
      <c r="AO77" s="184">
        <v>0.1</v>
      </c>
      <c r="AP77" s="184">
        <v>0.11</v>
      </c>
      <c r="AQ77" s="184">
        <v>0.13</v>
      </c>
      <c r="AR77" s="184">
        <v>0.16</v>
      </c>
      <c r="AS77" s="184">
        <v>0.19</v>
      </c>
      <c r="AT77" s="184">
        <v>0.23</v>
      </c>
      <c r="AU77" s="184">
        <v>0.27</v>
      </c>
      <c r="AV77" s="184">
        <v>0.32</v>
      </c>
      <c r="AW77" s="184">
        <v>0.37</v>
      </c>
      <c r="AX77" s="184">
        <v>0.43</v>
      </c>
      <c r="AY77" s="184">
        <v>0.5</v>
      </c>
      <c r="AZ77" s="184">
        <v>0.57000000000000006</v>
      </c>
      <c r="BA77" s="184">
        <v>0.65</v>
      </c>
      <c r="BB77" s="184">
        <v>0.74</v>
      </c>
      <c r="BC77" s="184">
        <v>0.83</v>
      </c>
      <c r="BD77" s="184">
        <v>0.93</v>
      </c>
      <c r="BE77" s="184">
        <v>1.04</v>
      </c>
      <c r="BF77" s="184">
        <v>1.1499999999999999</v>
      </c>
      <c r="BG77" s="184">
        <v>1.27</v>
      </c>
      <c r="BH77" s="184">
        <v>1.4</v>
      </c>
      <c r="BI77" s="184">
        <v>1.53</v>
      </c>
      <c r="BJ77" s="184">
        <v>1.67</v>
      </c>
      <c r="BK77" s="184">
        <v>1.82</v>
      </c>
      <c r="BL77" s="184">
        <v>2.1399999999999997</v>
      </c>
      <c r="BM77" s="184">
        <v>2.4899999999999998</v>
      </c>
      <c r="BN77" s="184">
        <v>2.86</v>
      </c>
      <c r="BO77" s="184">
        <v>3.28</v>
      </c>
      <c r="BP77" s="184">
        <v>3.72</v>
      </c>
      <c r="BQ77" s="184" t="s">
        <v>85</v>
      </c>
    </row>
    <row r="78" spans="37:69" ht="15" customHeight="1" x14ac:dyDescent="0.15"/>
    <row r="79" spans="37:69" ht="15" customHeight="1" x14ac:dyDescent="0.15"/>
    <row r="80" spans="37:69" ht="15" customHeight="1" x14ac:dyDescent="0.15"/>
    <row r="81" spans="37:38" ht="15" customHeight="1" x14ac:dyDescent="0.15"/>
    <row r="82" spans="37:38" ht="15" customHeight="1" x14ac:dyDescent="0.15"/>
    <row r="83" spans="37:38" ht="15" customHeight="1" x14ac:dyDescent="0.15"/>
    <row r="84" spans="37:38" ht="15" customHeight="1" x14ac:dyDescent="0.15"/>
    <row r="85" spans="37:38" ht="15" customHeight="1" x14ac:dyDescent="0.15"/>
    <row r="86" spans="37:38" ht="15" customHeight="1" x14ac:dyDescent="0.15"/>
    <row r="87" spans="37:38" ht="15" customHeight="1" x14ac:dyDescent="0.15"/>
    <row r="88" spans="37:38" ht="15" customHeight="1" x14ac:dyDescent="0.15"/>
    <row r="89" spans="37:38" ht="15" customHeight="1" x14ac:dyDescent="0.15"/>
    <row r="90" spans="37:38" ht="15" customHeight="1" x14ac:dyDescent="0.15"/>
    <row r="91" spans="37:38" ht="15" customHeight="1" x14ac:dyDescent="0.15">
      <c r="AK91" s="102"/>
      <c r="AL91" s="102"/>
    </row>
    <row r="92" spans="37:38" ht="15" customHeight="1" x14ac:dyDescent="0.15">
      <c r="AK92" s="102" t="s">
        <v>65</v>
      </c>
      <c r="AL92" s="102" t="s">
        <v>65</v>
      </c>
    </row>
    <row r="93" spans="37:38" ht="15" customHeight="1" x14ac:dyDescent="0.15">
      <c r="AK93" s="102" t="s">
        <v>66</v>
      </c>
      <c r="AL93" s="57" t="s">
        <v>6</v>
      </c>
    </row>
    <row r="94" spans="37:38" ht="15" customHeight="1" x14ac:dyDescent="0.15">
      <c r="AK94" s="57" t="s">
        <v>6</v>
      </c>
      <c r="AL94" s="57" t="s">
        <v>67</v>
      </c>
    </row>
    <row r="95" spans="37:38" ht="15" customHeight="1" x14ac:dyDescent="0.15">
      <c r="AK95" s="57" t="s">
        <v>67</v>
      </c>
      <c r="AL95" s="57" t="s">
        <v>68</v>
      </c>
    </row>
    <row r="96" spans="37:38" ht="15" customHeight="1" x14ac:dyDescent="0.15">
      <c r="AK96" s="57" t="s">
        <v>68</v>
      </c>
      <c r="AL96" s="57" t="s">
        <v>69</v>
      </c>
    </row>
    <row r="97" spans="37:54" ht="15" customHeight="1" x14ac:dyDescent="0.15">
      <c r="AK97" s="57" t="s">
        <v>69</v>
      </c>
      <c r="AL97" s="102" t="s">
        <v>41</v>
      </c>
    </row>
    <row r="98" spans="37:54" ht="15" customHeight="1" x14ac:dyDescent="0.15">
      <c r="AK98" s="102" t="s">
        <v>41</v>
      </c>
      <c r="AL98" s="102" t="s">
        <v>70</v>
      </c>
    </row>
    <row r="99" spans="37:54" ht="15" customHeight="1" x14ac:dyDescent="0.15">
      <c r="AK99" s="102" t="s">
        <v>70</v>
      </c>
    </row>
    <row r="100" spans="37:54" ht="15" customHeight="1" x14ac:dyDescent="0.15">
      <c r="AK100" s="102" t="s">
        <v>172</v>
      </c>
    </row>
    <row r="101" spans="37:54" ht="15" customHeight="1" x14ac:dyDescent="0.15">
      <c r="AK101" s="102" t="s">
        <v>173</v>
      </c>
    </row>
    <row r="102" spans="37:54" ht="15" customHeight="1" x14ac:dyDescent="0.15">
      <c r="AK102" s="102" t="s">
        <v>174</v>
      </c>
    </row>
    <row r="103" spans="37:54" ht="15" customHeight="1" x14ac:dyDescent="0.15">
      <c r="AK103" s="50"/>
    </row>
    <row r="104" spans="37:54" ht="15" customHeight="1" x14ac:dyDescent="0.15">
      <c r="AK104" s="105" t="s">
        <v>159</v>
      </c>
    </row>
    <row r="105" spans="37:54" ht="15" customHeight="1" x14ac:dyDescent="0.15">
      <c r="AK105" s="357" t="s">
        <v>160</v>
      </c>
      <c r="AL105" s="357" t="s">
        <v>71</v>
      </c>
      <c r="AM105" s="357"/>
      <c r="AN105" s="357">
        <v>25</v>
      </c>
      <c r="AO105" s="357">
        <v>30</v>
      </c>
      <c r="AP105" s="357">
        <v>32</v>
      </c>
      <c r="AQ105" s="357">
        <v>40</v>
      </c>
      <c r="AR105" s="357">
        <v>50</v>
      </c>
      <c r="AS105" s="231" t="s">
        <v>143</v>
      </c>
      <c r="AT105" s="51">
        <v>32</v>
      </c>
      <c r="AU105" s="59" t="s">
        <v>147</v>
      </c>
      <c r="AV105" s="60"/>
      <c r="AW105" s="60"/>
      <c r="AX105" s="60"/>
      <c r="AY105" s="229"/>
      <c r="AZ105" s="60"/>
      <c r="BA105" s="60"/>
      <c r="BB105" s="61"/>
    </row>
    <row r="106" spans="37:54" ht="15" customHeight="1" x14ac:dyDescent="0.15">
      <c r="AK106" s="423" t="s">
        <v>161</v>
      </c>
      <c r="AL106" s="424">
        <f ca="1">K11</f>
        <v>0</v>
      </c>
      <c r="AM106" s="357" t="s">
        <v>143</v>
      </c>
      <c r="AN106" s="357">
        <f ca="1">IF(AL106&lt;=25,5.7,IF(AND(AL106&gt;25,AL106&lt;=75),ROUNDUP(0.3/25*AL106+5.4,1),IF(AND(AL106&gt;75,AL106&lt;=100),ROUNDUP(0.4/25*AL106+5.1,1),ROUNDUP(0.5/25*AL106+4.7,1))))</f>
        <v>5.7</v>
      </c>
      <c r="AO106" s="357">
        <f ca="1">AP106</f>
        <v>5.5</v>
      </c>
      <c r="AP106" s="357">
        <f ca="1">IF(AL106&lt;=25,5.5,IF(AND(AL106&gt;25,AL106&lt;=100),ROUNDUP(0.8/75*AL106+5.2333,1),IF(AND(AL106&gt;100,AL106&lt;=150),ROUNDUP(0.7/50*AL106+4.9,1),ROUNDUP(1/50*AL106+4,1))))</f>
        <v>5.5</v>
      </c>
      <c r="AQ106" s="357">
        <f ca="1">IF(AL106&lt;=25,5.5,IF(AND(AL106&gt;25,AL106&lt;=100),ROUNDUP(0.7/60*AL106+5.0333,1),ROUNDUP(1/100*AL106+5.2,1)))</f>
        <v>5.5</v>
      </c>
      <c r="AR106" s="357">
        <f ca="1">IF(AL106&lt;=50,5.9,IF(AND(AL106&gt;50,AL106&lt;=100),ROUNDUP(0.1/50*AL106+5.8,1),ROUNDUP(0.5/100*AL106+5.5,1)))</f>
        <v>5.9</v>
      </c>
      <c r="AS106" s="232"/>
      <c r="AT106" s="51">
        <v>40</v>
      </c>
      <c r="AU106" s="59" t="s">
        <v>146</v>
      </c>
      <c r="AV106" s="60"/>
      <c r="AW106" s="60"/>
      <c r="AX106" s="60"/>
      <c r="AY106" s="229"/>
      <c r="AZ106" s="60"/>
      <c r="BA106" s="60"/>
      <c r="BB106" s="61"/>
    </row>
    <row r="107" spans="37:54" ht="15" customHeight="1" x14ac:dyDescent="0.15">
      <c r="AK107" s="423"/>
      <c r="AL107" s="425"/>
      <c r="AM107" s="357" t="s">
        <v>144</v>
      </c>
      <c r="AN107" s="357">
        <f ca="1">IF(AL106&lt;=30,7.1,IF(AND(AL106&gt;30,AL106&lt;=50),ROUNDUP(-0.6/20*AL106+8,1),IF(AND(AL106&gt;50,AL106&lt;=100),ROUNDUP(0.1/50*AL106+6.4,1),IF(AND(AL106&gt;100,AL106&lt;=125),ROUNDUP(0.5/25*AL106+4.6,1),ROUNDUP(1.4/25*AL106+0.1,1)))))</f>
        <v>7.1</v>
      </c>
      <c r="AO107" s="357">
        <f t="shared" ref="AO107:AO138" ca="1" si="32">AP107</f>
        <v>5.9</v>
      </c>
      <c r="AP107" s="357">
        <f ca="1">IF(AL106&lt;=25,ROUNDUP(0.8/25*AL106+5.9,1),IF(AND(AL106&gt;25,AL106&lt;=50),ROUNDUP(0.4/25*AL106+6.3,1),IF(AND(AL106&gt;50,AL106&lt;=70),ROUNDUP(0.1/20*AL106+6.85,1),IF(AND(AL106&gt;70,AL106&lt;=100),ROUNDUP(-0.1/30*AL106+7.4333,1),IF(AND(AL106&gt;100,AL106&lt;=150),ROUNDUP(0.4/50*AL106+6.3,1),ROUNDUP(0.7/50*AL106+5.4,1))))))</f>
        <v>5.9</v>
      </c>
      <c r="AQ107" s="357">
        <f ca="1">IF(AL106&lt;=25,ROUNDUP(0.7/25*AL106+5.8,1),IF(AND(AL106&gt;25,AL106&lt;=50),ROUNDUP(0.4/25*AL106+6.1,1),IF(AND(AL106&gt;50,AL106&lt;=75),ROUNDUP(0.3/25*AL106+6.3,1),IF(AND(AL106&gt;75,AL106&lt;=100),ROUNDUP(0.1/25*AL106+6.9,1),IF(AND(AL106&gt;100,AL106&lt;=120),7.3,IF(AND(AL106&gt;120,AL106&lt;=160),ROUNDUP(-0.2/40*AL106+7.9,1),ROUNDUP(0.3/40*AL106+5.9,1)))))))</f>
        <v>5.8</v>
      </c>
      <c r="AR107" s="357">
        <f ca="1">IF(AL106&lt;=50,ROUNDUP(0.75/100*AL106+5.6,1),ROUNDUP(0.15/100*AL106+6.2,1))</f>
        <v>5.6</v>
      </c>
      <c r="AS107" s="233"/>
      <c r="AT107" s="51">
        <v>50</v>
      </c>
      <c r="AU107" s="59" t="s">
        <v>152</v>
      </c>
      <c r="AV107" s="60"/>
      <c r="AW107" s="60"/>
      <c r="AX107" s="60"/>
      <c r="AY107" s="229"/>
      <c r="AZ107" s="60"/>
      <c r="BA107" s="60"/>
      <c r="BB107" s="61"/>
    </row>
    <row r="108" spans="37:54" ht="15" customHeight="1" x14ac:dyDescent="0.15">
      <c r="AK108" s="423"/>
      <c r="AL108" s="426"/>
      <c r="AM108" s="357" t="s">
        <v>145</v>
      </c>
      <c r="AN108" s="357">
        <f ca="1">IF(AL106&lt;=20,6.1,IF(AND(AL106&gt;20,AL106&lt;=50),ROUNDUP(0.4/30*AL106+5.8333,1),IF(AND(AL106&gt;50,AL106&lt;=100),ROUNDUP(0.4/50*AL106+6.1,1),ROUNDUP(3.3/150*AL106+4.7,1))))</f>
        <v>6.1</v>
      </c>
      <c r="AO108" s="357">
        <f t="shared" ca="1" si="32"/>
        <v>5.6</v>
      </c>
      <c r="AP108" s="357">
        <f ca="1">IF(AL106&lt;=8,5.6,IF(AND(AL106&gt;8,AL106&lt;=17),ROUNDUP(0.3/9*AL106+5.3333,1),IF(AND(AL106&gt;17,AL106&lt;=135),ROUNDUP(0.4/118*AL106+5.8423,1),ROUNDUP(1.1/65*AL106+4.0153,1))))</f>
        <v>5.6</v>
      </c>
      <c r="AQ108" s="357">
        <f ca="1">IF(AL106&lt;=8,5.6,IF(AND(AL106&gt;8,AL106&lt;=10),ROUNDUP(0.3/2*AL106+4.4,1),IF(AND(AL106&gt;10,AL106&lt;=17),ROUNDUP(0.1/7*AL106+5.7571,1),IF(AND(AL106&gt;17,AL106&lt;=50),ROUNDUP(0.3/33*AL106+5.8454,1),IF(AND(AL106&gt;50,AL106&lt;=150),ROUNDUP(0.3/100*AL106+6.15,1),ROUNDUP(0.2/50*AL106+6,1))))))</f>
        <v>5.6</v>
      </c>
      <c r="AR108" s="357">
        <f ca="1">IF(AL106&lt;=10,5.5,IF(AND(AL106&gt;10,AL106&lt;=68),ROUNDUP(0.7/58*AL106+5.3793,1),IF(AND(AL106&gt;68,AL106&lt;=138),ROUNDUP(0.4/70*AL106+5.8114,1),ROUNDUP(0.1/62*AL106+6.3774,1))))</f>
        <v>5.5</v>
      </c>
      <c r="AS108" s="234" t="s">
        <v>144</v>
      </c>
      <c r="AT108" s="51">
        <v>32</v>
      </c>
      <c r="AU108" s="59" t="s">
        <v>153</v>
      </c>
      <c r="AV108" s="60"/>
      <c r="AW108" s="60"/>
      <c r="AX108" s="60"/>
      <c r="AY108" s="229"/>
      <c r="AZ108" s="60"/>
      <c r="BA108" s="60"/>
      <c r="BB108" s="61"/>
    </row>
    <row r="109" spans="37:54" ht="15" customHeight="1" x14ac:dyDescent="0.15">
      <c r="AK109" s="423" t="s">
        <v>162</v>
      </c>
      <c r="AL109" s="424">
        <f t="shared" ref="AL109" ca="1" si="33">K14</f>
        <v>0</v>
      </c>
      <c r="AM109" s="357" t="s">
        <v>143</v>
      </c>
      <c r="AN109" s="357">
        <f t="shared" ref="AN109" ca="1" si="34">IF(AL109&lt;=25,5.7,IF(AND(AL109&gt;25,AL109&lt;=75),ROUNDUP(0.3/25*AL109+5.4,1),IF(AND(AL109&gt;75,AL109&lt;=100),ROUNDUP(0.4/25*AL109+5.1,1),ROUNDUP(0.5/25*AL109+4.7,1))))</f>
        <v>5.7</v>
      </c>
      <c r="AO109" s="357">
        <f t="shared" ca="1" si="32"/>
        <v>5.5</v>
      </c>
      <c r="AP109" s="357">
        <f ca="1">IF(AL109&lt;=25,5.5,IF(AND(AL109&gt;25,AL109&lt;=100),ROUNDUP(0.8/75*AL109+5.2333,1),IF(AND(AL109&gt;100,AL109&lt;=150),ROUNDUP(0.7/50*AL109+4.9,1),ROUNDUP(1/50*AL109+4,1))))</f>
        <v>5.5</v>
      </c>
      <c r="AQ109" s="357">
        <f ca="1">IF(AL109&lt;=25,5.5,IF(AND(AL109&gt;25,AL109&lt;=100),ROUNDUP(0.7/60*AL109+5.0333,1),ROUNDUP(1/100*AL109+5.2,1)))</f>
        <v>5.5</v>
      </c>
      <c r="AR109" s="357">
        <f ca="1">IF(AL109&lt;=50,5.9,IF(AND(AL109&gt;50,AL109&lt;=100),ROUNDUP(0.1/50*AL109+5.8,1),ROUNDUP(0.5/100*AL109+5.5,1)))</f>
        <v>5.9</v>
      </c>
      <c r="AS109" s="235"/>
      <c r="AT109" s="51">
        <v>40</v>
      </c>
      <c r="AU109" s="59" t="s">
        <v>154</v>
      </c>
      <c r="AV109" s="60"/>
      <c r="AW109" s="60"/>
      <c r="AX109" s="60"/>
      <c r="AY109" s="229"/>
      <c r="AZ109" s="60"/>
      <c r="BA109" s="60"/>
      <c r="BB109" s="61"/>
    </row>
    <row r="110" spans="37:54" ht="15" customHeight="1" x14ac:dyDescent="0.15">
      <c r="AK110" s="423"/>
      <c r="AL110" s="425"/>
      <c r="AM110" s="357" t="s">
        <v>144</v>
      </c>
      <c r="AN110" s="357">
        <f t="shared" ref="AN110" ca="1" si="35">IF(AL109&lt;=30,7.1,IF(AND(AL109&gt;30,AL109&lt;=50),ROUNDUP(-0.6/20*AL109+8,1),IF(AND(AL109&gt;50,AL109&lt;=100),ROUNDUP(0.1/50*AL109+6.4,1),IF(AND(AL109&gt;100,AL109&lt;=125),ROUNDUP(0.5/25*AL109+4.6,1),ROUNDUP(1.4/25*AL109+0.1,1)))))</f>
        <v>7.1</v>
      </c>
      <c r="AO110" s="357">
        <f t="shared" ca="1" si="32"/>
        <v>5.9</v>
      </c>
      <c r="AP110" s="357">
        <f ca="1">IF(AL109&lt;=25,ROUNDUP(0.8/25*AL109+5.9,1),IF(AND(AL109&gt;25,AL109&lt;=50),ROUNDUP(0.4/25*AL109+6.3,1),IF(AND(AL109&gt;50,AL109&lt;=70),ROUNDUP(0.1/20*AL109+6.85,1),IF(AND(AL109&gt;70,AL109&lt;=100),ROUNDUP(-0.1/30*AL109+7.4333,1),IF(AND(AL109&gt;100,AL109&lt;=150),ROUNDUP(0.4/50*AL109+6.3,1),ROUNDUP(0.7/50*AL109+5.4,1))))))</f>
        <v>5.9</v>
      </c>
      <c r="AQ110" s="357">
        <f ca="1">IF(AL109&lt;=25,ROUNDUP(0.7/25*AL109+5.8,1),IF(AND(AL109&gt;25,AL109&lt;=50),ROUNDUP(0.4/25*AL109+6.1,1),IF(AND(AL109&gt;50,AL109&lt;=75),ROUNDUP(0.3/25*AL109+6.3,1),IF(AND(AL109&gt;75,AL109&lt;=100),ROUNDUP(0.1/25*AL109+6.9,1),IF(AND(AL109&gt;100,AL109&lt;=120),7.3,IF(AND(AL109&gt;120,AL109&lt;=160),ROUNDUP(-0.2/40*AL109+7.9,1),ROUNDUP(0.3/40*AL109+5.9,1)))))))</f>
        <v>5.8</v>
      </c>
      <c r="AR110" s="357">
        <f ca="1">IF(AL109&lt;=50,ROUNDUP(0.75/100*AL109+5.6,1),ROUNDUP(0.15/100*AL109+6.2,1))</f>
        <v>5.6</v>
      </c>
      <c r="AS110" s="236"/>
      <c r="AT110" s="51">
        <v>50</v>
      </c>
      <c r="AU110" s="59" t="s">
        <v>155</v>
      </c>
      <c r="AV110" s="60"/>
      <c r="AW110" s="60"/>
      <c r="AX110" s="60"/>
      <c r="AY110" s="229"/>
      <c r="AZ110" s="60"/>
      <c r="BA110" s="60"/>
      <c r="BB110" s="61"/>
    </row>
    <row r="111" spans="37:54" ht="15" customHeight="1" x14ac:dyDescent="0.15">
      <c r="AK111" s="423"/>
      <c r="AL111" s="426"/>
      <c r="AM111" s="357" t="s">
        <v>145</v>
      </c>
      <c r="AN111" s="357">
        <f t="shared" ref="AN111" ca="1" si="36">IF(AL109&lt;=20,6.1,IF(AND(AL109&gt;20,AL109&lt;=50),ROUNDUP(0.4/30*AL109+5.8333,1),IF(AND(AL109&gt;50,AL109&lt;=100),ROUNDUP(0.4/50*AL109+6.1,1),ROUNDUP(3.3/150*AL109+4.7,1))))</f>
        <v>6.1</v>
      </c>
      <c r="AO111" s="357">
        <f t="shared" ca="1" si="32"/>
        <v>5.6</v>
      </c>
      <c r="AP111" s="357">
        <f ca="1">IF(AL109&lt;=8,5.6,IF(AND(AL109&gt;8,AL109&lt;=17),ROUNDUP(0.3/9*AL109+5.3333,1),IF(AND(AL109&gt;17,AL109&lt;=135),ROUNDUP(0.4/118*AL109+5.8423,1),ROUNDUP(1.1/65*AL109+4.0153,1))))</f>
        <v>5.6</v>
      </c>
      <c r="AQ111" s="357">
        <f ca="1">IF(AL109&lt;=8,5.6,IF(AND(AL109&gt;8,AL109&lt;=10),ROUNDUP(0.3/2*AL109+4.4,1),IF(AND(AL109&gt;10,AL109&lt;=17),ROUNDUP(0.1/7*AL109+5.7571,1),IF(AND(AL109&gt;17,AL109&lt;=50),ROUNDUP(0.3/33*AL109+5.8454,1),IF(AND(AL109&gt;50,AL109&lt;=150),ROUNDUP(0.3/100*AL109+6.15,1),ROUNDUP(0.2/50*AL109+6,1))))))</f>
        <v>5.6</v>
      </c>
      <c r="AR111" s="357">
        <f ca="1">IF(AL109&lt;=10,5.5,IF(AND(AL109&gt;10,AL109&lt;=68),ROUNDUP(0.7/58*AL109+5.3793,1),IF(AND(AL109&gt;68,AL109&lt;=138),ROUNDUP(0.4/70*AL109+5.8114,1),ROUNDUP(0.1/62*AL109+6.3774,1))))</f>
        <v>5.5</v>
      </c>
      <c r="AS111" s="234" t="s">
        <v>145</v>
      </c>
      <c r="AT111" s="51">
        <v>32</v>
      </c>
      <c r="AU111" s="59" t="s">
        <v>148</v>
      </c>
      <c r="AV111" s="60"/>
      <c r="AW111" s="60"/>
      <c r="AX111" s="60"/>
      <c r="AY111" s="229"/>
      <c r="AZ111" s="60"/>
      <c r="BA111" s="60"/>
      <c r="BB111" s="61"/>
    </row>
    <row r="112" spans="37:54" ht="15" customHeight="1" x14ac:dyDescent="0.15">
      <c r="AK112" s="423" t="s">
        <v>163</v>
      </c>
      <c r="AL112" s="424">
        <f t="shared" ref="AL112" ca="1" si="37">K17</f>
        <v>0</v>
      </c>
      <c r="AM112" s="357" t="s">
        <v>143</v>
      </c>
      <c r="AN112" s="357">
        <f t="shared" ref="AN112" ca="1" si="38">IF(AL112&lt;=25,5.7,IF(AND(AL112&gt;25,AL112&lt;=75),ROUNDUP(0.3/25*AL112+5.4,1),IF(AND(AL112&gt;75,AL112&lt;=100),ROUNDUP(0.4/25*AL112+5.1,1),ROUNDUP(0.5/25*AL112+4.7,1))))</f>
        <v>5.7</v>
      </c>
      <c r="AO112" s="357">
        <f t="shared" ca="1" si="32"/>
        <v>5.5</v>
      </c>
      <c r="AP112" s="357">
        <f ca="1">IF(AL112&lt;=25,5.5,IF(AND(AL112&gt;25,AL112&lt;=100),ROUNDUP(0.8/75*AL112+5.2333,1),IF(AND(AL112&gt;100,AL112&lt;=150),ROUNDUP(0.7/50*AL112+4.9,1),ROUNDUP(1/50*AL112+4,1))))</f>
        <v>5.5</v>
      </c>
      <c r="AQ112" s="357">
        <f ca="1">IF(AL112&lt;=25,5.5,IF(AND(AL112&gt;25,AL112&lt;=100),ROUNDUP(0.7/60*AL112+5.0333,1),ROUNDUP(1/100*AL112+5.2,1)))</f>
        <v>5.5</v>
      </c>
      <c r="AR112" s="357">
        <f ca="1">IF(AL112&lt;=50,5.9,IF(AND(AL112&gt;50,AL112&lt;=100),ROUNDUP(0.1/50*AL112+5.8,1),ROUNDUP(0.5/100*AL112+5.5,1)))</f>
        <v>5.9</v>
      </c>
      <c r="AS112" s="235"/>
      <c r="AT112" s="51">
        <v>40</v>
      </c>
      <c r="AU112" s="59" t="s">
        <v>149</v>
      </c>
      <c r="AV112" s="60"/>
      <c r="AW112" s="60"/>
      <c r="AX112" s="60"/>
      <c r="AY112" s="229"/>
      <c r="AZ112" s="60"/>
      <c r="BA112" s="60"/>
      <c r="BB112" s="61"/>
    </row>
    <row r="113" spans="37:54" ht="15" customHeight="1" x14ac:dyDescent="0.15">
      <c r="AK113" s="423"/>
      <c r="AL113" s="425"/>
      <c r="AM113" s="357" t="s">
        <v>144</v>
      </c>
      <c r="AN113" s="357">
        <f t="shared" ref="AN113" ca="1" si="39">IF(AL112&lt;=30,7.1,IF(AND(AL112&gt;30,AL112&lt;=50),ROUNDUP(-0.6/20*AL112+8,1),IF(AND(AL112&gt;50,AL112&lt;=100),ROUNDUP(0.1/50*AL112+6.4,1),IF(AND(AL112&gt;100,AL112&lt;=125),ROUNDUP(0.5/25*AL112+4.6,1),ROUNDUP(1.4/25*AL112+0.1,1)))))</f>
        <v>7.1</v>
      </c>
      <c r="AO113" s="357">
        <f t="shared" ca="1" si="32"/>
        <v>5.9</v>
      </c>
      <c r="AP113" s="357">
        <f ca="1">IF(AL112&lt;=25,ROUNDUP(0.8/25*AL112+5.9,1),IF(AND(AL112&gt;25,AL112&lt;=50),ROUNDUP(0.4/25*AL112+6.3,1),IF(AND(AL112&gt;50,AL112&lt;=70),ROUNDUP(0.1/20*AL112+6.85,1),IF(AND(AL112&gt;70,AL112&lt;=100),ROUNDUP(-0.1/30*AL112+7.4333,1),IF(AND(AL112&gt;100,AL112&lt;=150),ROUNDUP(0.4/50*AL112+6.3,1),ROUNDUP(0.7/50*AL112+5.4,1))))))</f>
        <v>5.9</v>
      </c>
      <c r="AQ113" s="357">
        <f ca="1">IF(AL112&lt;=25,ROUNDUP(0.7/25*AL112+5.8,1),IF(AND(AL112&gt;25,AL112&lt;=50),ROUNDUP(0.4/25*AL112+6.1,1),IF(AND(AL112&gt;50,AL112&lt;=75),ROUNDUP(0.3/25*AL112+6.3,1),IF(AND(AL112&gt;75,AL112&lt;=100),ROUNDUP(0.1/25*AL112+6.9,1),IF(AND(AL112&gt;100,AL112&lt;=120),7.3,IF(AND(AL112&gt;120,AL112&lt;=160),ROUNDUP(-0.2/40*AL112+7.9,1),ROUNDUP(0.3/40*AL112+5.9,1)))))))</f>
        <v>5.8</v>
      </c>
      <c r="AR113" s="357">
        <f ca="1">IF(AL112&lt;=50,ROUNDUP(0.75/100*AL112+5.6,1),ROUNDUP(0.15/100*AL112+6.2,1))</f>
        <v>5.6</v>
      </c>
      <c r="AS113" s="236"/>
      <c r="AT113" s="51">
        <v>50</v>
      </c>
      <c r="AU113" s="59" t="s">
        <v>150</v>
      </c>
      <c r="AV113" s="60"/>
      <c r="AW113" s="60"/>
      <c r="AX113" s="60"/>
      <c r="AY113" s="229"/>
      <c r="AZ113" s="60"/>
      <c r="BA113" s="60"/>
      <c r="BB113" s="61"/>
    </row>
    <row r="114" spans="37:54" ht="15" customHeight="1" x14ac:dyDescent="0.15">
      <c r="AK114" s="423"/>
      <c r="AL114" s="426"/>
      <c r="AM114" s="357" t="s">
        <v>145</v>
      </c>
      <c r="AN114" s="357">
        <f t="shared" ref="AN114" ca="1" si="40">IF(AL112&lt;=20,6.1,IF(AND(AL112&gt;20,AL112&lt;=50),ROUNDUP(0.4/30*AL112+5.8333,1),IF(AND(AL112&gt;50,AL112&lt;=100),ROUNDUP(0.4/50*AL112+6.1,1),ROUNDUP(3.3/150*AL112+4.7,1))))</f>
        <v>6.1</v>
      </c>
      <c r="AO114" s="357">
        <f t="shared" ca="1" si="32"/>
        <v>5.6</v>
      </c>
      <c r="AP114" s="357">
        <f ca="1">IF(AL112&lt;=8,5.6,IF(AND(AL112&gt;8,AL112&lt;=17),ROUNDUP(0.3/9*AL112+5.3333,1),IF(AND(AL112&gt;17,AL112&lt;=135),ROUNDUP(0.4/118*AL112+5.8423,1),ROUNDUP(1.1/65*AL112+4.0153,1))))</f>
        <v>5.6</v>
      </c>
      <c r="AQ114" s="357">
        <f ca="1">IF(AL112&lt;=8,5.6,IF(AND(AL112&gt;8,AL112&lt;=10),ROUNDUP(0.3/2*AL112+4.4,1),IF(AND(AL112&gt;10,AL112&lt;=17),ROUNDUP(0.1/7*AL112+5.7571,1),IF(AND(AL112&gt;17,AL112&lt;=50),ROUNDUP(0.3/33*AL112+5.8454,1),IF(AND(AL112&gt;50,AL112&lt;=150),ROUNDUP(0.3/100*AL112+6.15,1),ROUNDUP(0.2/50*AL112+6,1))))))</f>
        <v>5.6</v>
      </c>
      <c r="AR114" s="357">
        <f ca="1">IF(AL112&lt;=10,5.5,IF(AND(AL112&gt;10,AL112&lt;=68),ROUNDUP(0.7/58*AL112+5.3793,1),IF(AND(AL112&gt;68,AL112&lt;=138),ROUNDUP(0.4/70*AL112+5.8114,1),ROUNDUP(0.1/62*AL112+6.3774,1))))</f>
        <v>5.5</v>
      </c>
      <c r="BB114" s="50"/>
    </row>
    <row r="115" spans="37:54" x14ac:dyDescent="0.15">
      <c r="AK115" s="423" t="s">
        <v>164</v>
      </c>
      <c r="AL115" s="424">
        <f t="shared" ref="AL115" ca="1" si="41">K20</f>
        <v>0</v>
      </c>
      <c r="AM115" s="357" t="s">
        <v>143</v>
      </c>
      <c r="AN115" s="357">
        <f t="shared" ref="AN115" ca="1" si="42">IF(AL115&lt;=25,5.7,IF(AND(AL115&gt;25,AL115&lt;=75),ROUNDUP(0.3/25*AL115+5.4,1),IF(AND(AL115&gt;75,AL115&lt;=100),ROUNDUP(0.4/25*AL115+5.1,1),ROUNDUP(0.5/25*AL115+4.7,1))))</f>
        <v>5.7</v>
      </c>
      <c r="AO115" s="357">
        <f t="shared" ca="1" si="32"/>
        <v>5.5</v>
      </c>
      <c r="AP115" s="357">
        <f ca="1">IF(AL115&lt;=25,5.5,IF(AND(AL115&gt;25,AL115&lt;=100),ROUNDUP(0.8/75*AL115+5.2333,1),IF(AND(AL115&gt;100,AL115&lt;=150),ROUNDUP(0.7/50*AL115+4.9,1),ROUNDUP(1/50*AL115+4,1))))</f>
        <v>5.5</v>
      </c>
      <c r="AQ115" s="357">
        <f ca="1">IF(AL115&lt;=25,5.5,IF(AND(AL115&gt;25,AL115&lt;=100),ROUNDUP(0.7/60*AL115+5.0333,1),ROUNDUP(1/100*AL115+5.2,1)))</f>
        <v>5.5</v>
      </c>
      <c r="AR115" s="357">
        <f ca="1">IF(AL115&lt;=50,5.9,IF(AND(AL115&gt;50,AL115&lt;=100),ROUNDUP(0.1/50*AL115+5.8,1),ROUNDUP(0.5/100*AL115+5.5,1)))</f>
        <v>5.9</v>
      </c>
      <c r="BB115" s="50"/>
    </row>
    <row r="116" spans="37:54" x14ac:dyDescent="0.15">
      <c r="AK116" s="423"/>
      <c r="AL116" s="425"/>
      <c r="AM116" s="357" t="s">
        <v>144</v>
      </c>
      <c r="AN116" s="357">
        <f t="shared" ref="AN116" ca="1" si="43">IF(AL115&lt;=30,7.1,IF(AND(AL115&gt;30,AL115&lt;=50),ROUNDUP(-0.6/20*AL115+8,1),IF(AND(AL115&gt;50,AL115&lt;=100),ROUNDUP(0.1/50*AL115+6.4,1),IF(AND(AL115&gt;100,AL115&lt;=125),ROUNDUP(0.5/25*AL115+4.6,1),ROUNDUP(1.4/25*AL115+0.1,1)))))</f>
        <v>7.1</v>
      </c>
      <c r="AO116" s="357">
        <f t="shared" ca="1" si="32"/>
        <v>5.9</v>
      </c>
      <c r="AP116" s="357">
        <f ca="1">IF(AL115&lt;=25,ROUNDUP(0.8/25*AL115+5.9,1),IF(AND(AL115&gt;25,AL115&lt;=50),ROUNDUP(0.4/25*AL115+6.3,1),IF(AND(AL115&gt;50,AL115&lt;=70),ROUNDUP(0.1/20*AL115+6.85,1),IF(AND(AL115&gt;70,AL115&lt;=100),ROUNDUP(-0.1/30*AL115+7.4333,1),IF(AND(AL115&gt;100,AL115&lt;=150),ROUNDUP(0.4/50*AL115+6.3,1),ROUNDUP(0.7/50*AL115+5.4,1))))))</f>
        <v>5.9</v>
      </c>
      <c r="AQ116" s="357">
        <f ca="1">IF(AL115&lt;=25,ROUNDUP(0.7/25*AL115+5.8,1),IF(AND(AL115&gt;25,AL115&lt;=50),ROUNDUP(0.4/25*AL115+6.1,1),IF(AND(AL115&gt;50,AL115&lt;=75),ROUNDUP(0.3/25*AL115+6.3,1),IF(AND(AL115&gt;75,AL115&lt;=100),ROUNDUP(0.1/25*AL115+6.9,1),IF(AND(AL115&gt;100,AL115&lt;=120),7.3,IF(AND(AL115&gt;120,AL115&lt;=160),ROUNDUP(-0.2/40*AL115+7.9,1),ROUNDUP(0.3/40*AL115+5.9,1)))))))</f>
        <v>5.8</v>
      </c>
      <c r="AR116" s="357">
        <f ca="1">IF(AL115&lt;=50,ROUNDUP(0.75/100*AL115+5.6,1),ROUNDUP(0.15/100*AL115+6.2,1))</f>
        <v>5.6</v>
      </c>
      <c r="BB116" s="50"/>
    </row>
    <row r="117" spans="37:54" x14ac:dyDescent="0.15">
      <c r="AK117" s="423"/>
      <c r="AL117" s="426"/>
      <c r="AM117" s="357" t="s">
        <v>145</v>
      </c>
      <c r="AN117" s="357">
        <f t="shared" ref="AN117" ca="1" si="44">IF(AL115&lt;=20,6.1,IF(AND(AL115&gt;20,AL115&lt;=50),ROUNDUP(0.4/30*AL115+5.8333,1),IF(AND(AL115&gt;50,AL115&lt;=100),ROUNDUP(0.4/50*AL115+6.1,1),ROUNDUP(3.3/150*AL115+4.7,1))))</f>
        <v>6.1</v>
      </c>
      <c r="AO117" s="357">
        <f t="shared" ca="1" si="32"/>
        <v>5.6</v>
      </c>
      <c r="AP117" s="357">
        <f ca="1">IF(AL115&lt;=8,5.6,IF(AND(AL115&gt;8,AL115&lt;=17),ROUNDUP(0.3/9*AL115+5.3333,1),IF(AND(AL115&gt;17,AL115&lt;=135),ROUNDUP(0.4/118*AL115+5.8423,1),ROUNDUP(1.1/65*AL115+4.0153,1))))</f>
        <v>5.6</v>
      </c>
      <c r="AQ117" s="357">
        <f ca="1">IF(AL115&lt;=8,5.6,IF(AND(AL115&gt;8,AL115&lt;=10),ROUNDUP(0.3/2*AL115+4.4,1),IF(AND(AL115&gt;10,AL115&lt;=17),ROUNDUP(0.1/7*AL115+5.7571,1),IF(AND(AL115&gt;17,AL115&lt;=50),ROUNDUP(0.3/33*AL115+5.8454,1),IF(AND(AL115&gt;50,AL115&lt;=150),ROUNDUP(0.3/100*AL115+6.15,1),ROUNDUP(0.2/50*AL115+6,1))))))</f>
        <v>5.6</v>
      </c>
      <c r="AR117" s="357">
        <f ca="1">IF(AL115&lt;=10,5.5,IF(AND(AL115&gt;10,AL115&lt;=68),ROUNDUP(0.7/58*AL115+5.3793,1),IF(AND(AL115&gt;68,AL115&lt;=138),ROUNDUP(0.4/70*AL115+5.8114,1),ROUNDUP(0.1/62*AL115+6.3774,1))))</f>
        <v>5.5</v>
      </c>
      <c r="BB117" s="50"/>
    </row>
    <row r="118" spans="37:54" x14ac:dyDescent="0.15">
      <c r="AK118" s="423" t="s">
        <v>165</v>
      </c>
      <c r="AL118" s="424">
        <f t="shared" ref="AL118" ca="1" si="45">K23</f>
        <v>0</v>
      </c>
      <c r="AM118" s="357" t="s">
        <v>143</v>
      </c>
      <c r="AN118" s="357">
        <f t="shared" ref="AN118" ca="1" si="46">IF(AL118&lt;=25,5.7,IF(AND(AL118&gt;25,AL118&lt;=75),ROUNDUP(0.3/25*AL118+5.4,1),IF(AND(AL118&gt;75,AL118&lt;=100),ROUNDUP(0.4/25*AL118+5.1,1),ROUNDUP(0.5/25*AL118+4.7,1))))</f>
        <v>5.7</v>
      </c>
      <c r="AO118" s="357">
        <f t="shared" ca="1" si="32"/>
        <v>5.5</v>
      </c>
      <c r="AP118" s="357">
        <f ca="1">IF(AL118&lt;=25,5.5,IF(AND(AL118&gt;25,AL118&lt;=100),ROUNDUP(0.8/75*AL118+5.2333,1),IF(AND(AL118&gt;100,AL118&lt;=150),ROUNDUP(0.7/50*AL118+4.9,1),ROUNDUP(1/50*AL118+4,1))))</f>
        <v>5.5</v>
      </c>
      <c r="AQ118" s="357">
        <f ca="1">IF(AL118&lt;=25,5.5,IF(AND(AL118&gt;25,AL118&lt;=100),ROUNDUP(0.7/60*AL118+5.0333,1),ROUNDUP(1/100*AL118+5.2,1)))</f>
        <v>5.5</v>
      </c>
      <c r="AR118" s="357">
        <f ca="1">IF(AL118&lt;=50,5.9,IF(AND(AL118&gt;50,AL118&lt;=100),ROUNDUP(0.1/50*AL118+5.8,1),ROUNDUP(0.5/100*AL118+5.5,1)))</f>
        <v>5.9</v>
      </c>
      <c r="BB118" s="50"/>
    </row>
    <row r="119" spans="37:54" x14ac:dyDescent="0.15">
      <c r="AK119" s="423"/>
      <c r="AL119" s="425"/>
      <c r="AM119" s="357" t="s">
        <v>144</v>
      </c>
      <c r="AN119" s="357">
        <f t="shared" ref="AN119" ca="1" si="47">IF(AL118&lt;=30,7.1,IF(AND(AL118&gt;30,AL118&lt;=50),ROUNDUP(-0.6/20*AL118+8,1),IF(AND(AL118&gt;50,AL118&lt;=100),ROUNDUP(0.1/50*AL118+6.4,1),IF(AND(AL118&gt;100,AL118&lt;=125),ROUNDUP(0.5/25*AL118+4.6,1),ROUNDUP(1.4/25*AL118+0.1,1)))))</f>
        <v>7.1</v>
      </c>
      <c r="AO119" s="357">
        <f t="shared" ca="1" si="32"/>
        <v>5.9</v>
      </c>
      <c r="AP119" s="357">
        <f ca="1">IF(AL118&lt;=25,ROUNDUP(0.8/25*AL118+5.9,1),IF(AND(AL118&gt;25,AL118&lt;=50),ROUNDUP(0.4/25*AL118+6.3,1),IF(AND(AL118&gt;50,AL118&lt;=70),ROUNDUP(0.1/20*AL118+6.85,1),IF(AND(AL118&gt;70,AL118&lt;=100),ROUNDUP(-0.1/30*AL118+7.4333,1),IF(AND(AL118&gt;100,AL118&lt;=150),ROUNDUP(0.4/50*AL118+6.3,1),ROUNDUP(0.7/50*AL118+5.4,1))))))</f>
        <v>5.9</v>
      </c>
      <c r="AQ119" s="357">
        <f ca="1">IF(AL118&lt;=25,ROUNDUP(0.7/25*AL118+5.8,1),IF(AND(AL118&gt;25,AL118&lt;=50),ROUNDUP(0.4/25*AL118+6.1,1),IF(AND(AL118&gt;50,AL118&lt;=75),ROUNDUP(0.3/25*AL118+6.3,1),IF(AND(AL118&gt;75,AL118&lt;=100),ROUNDUP(0.1/25*AL118+6.9,1),IF(AND(AL118&gt;100,AL118&lt;=120),7.3,IF(AND(AL118&gt;120,AL118&lt;=160),ROUNDUP(-0.2/40*AL118+7.9,1),ROUNDUP(0.3/40*AL118+5.9,1)))))))</f>
        <v>5.8</v>
      </c>
      <c r="AR119" s="357">
        <f ca="1">IF(AL118&lt;=50,ROUNDUP(0.75/100*AL118+5.6,1),ROUNDUP(0.15/100*AL118+6.2,1))</f>
        <v>5.6</v>
      </c>
      <c r="BB119" s="50"/>
    </row>
    <row r="120" spans="37:54" x14ac:dyDescent="0.15">
      <c r="AK120" s="423"/>
      <c r="AL120" s="426"/>
      <c r="AM120" s="357" t="s">
        <v>145</v>
      </c>
      <c r="AN120" s="357">
        <f t="shared" ref="AN120" ca="1" si="48">IF(AL118&lt;=20,6.1,IF(AND(AL118&gt;20,AL118&lt;=50),ROUNDUP(0.4/30*AL118+5.8333,1),IF(AND(AL118&gt;50,AL118&lt;=100),ROUNDUP(0.4/50*AL118+6.1,1),ROUNDUP(3.3/150*AL118+4.7,1))))</f>
        <v>6.1</v>
      </c>
      <c r="AO120" s="357">
        <f t="shared" ca="1" si="32"/>
        <v>5.6</v>
      </c>
      <c r="AP120" s="357">
        <f ca="1">IF(AL118&lt;=8,5.6,IF(AND(AL118&gt;8,AL118&lt;=17),ROUNDUP(0.3/9*AL118+5.3333,1),IF(AND(AL118&gt;17,AL118&lt;=135),ROUNDUP(0.4/118*AL118+5.8423,1),ROUNDUP(1.1/65*AL118+4.0153,1))))</f>
        <v>5.6</v>
      </c>
      <c r="AQ120" s="357">
        <f ca="1">IF(AL118&lt;=8,5.6,IF(AND(AL118&gt;8,AL118&lt;=10),ROUNDUP(0.3/2*AL118+4.4,1),IF(AND(AL118&gt;10,AL118&lt;=17),ROUNDUP(0.1/7*AL118+5.7571,1),IF(AND(AL118&gt;17,AL118&lt;=50),ROUNDUP(0.3/33*AL118+5.8454,1),IF(AND(AL118&gt;50,AL118&lt;=150),ROUNDUP(0.3/100*AL118+6.15,1),ROUNDUP(0.2/50*AL118+6,1))))))</f>
        <v>5.6</v>
      </c>
      <c r="AR120" s="357">
        <f ca="1">IF(AL118&lt;=10,5.5,IF(AND(AL118&gt;10,AL118&lt;=68),ROUNDUP(0.7/58*AL118+5.3793,1),IF(AND(AL118&gt;68,AL118&lt;=138),ROUNDUP(0.4/70*AL118+5.8114,1),ROUNDUP(0.1/62*AL118+6.3774,1))))</f>
        <v>5.5</v>
      </c>
      <c r="BB120" s="50"/>
    </row>
    <row r="121" spans="37:54" x14ac:dyDescent="0.15">
      <c r="AK121" s="423" t="s">
        <v>166</v>
      </c>
      <c r="AL121" s="424">
        <f t="shared" ref="AL121" ca="1" si="49">K26</f>
        <v>0</v>
      </c>
      <c r="AM121" s="357" t="s">
        <v>143</v>
      </c>
      <c r="AN121" s="357">
        <f t="shared" ref="AN121" ca="1" si="50">IF(AL121&lt;=25,5.7,IF(AND(AL121&gt;25,AL121&lt;=75),ROUNDUP(0.3/25*AL121+5.4,1),IF(AND(AL121&gt;75,AL121&lt;=100),ROUNDUP(0.4/25*AL121+5.1,1),ROUNDUP(0.5/25*AL121+4.7,1))))</f>
        <v>5.7</v>
      </c>
      <c r="AO121" s="357">
        <f t="shared" ca="1" si="32"/>
        <v>5.5</v>
      </c>
      <c r="AP121" s="357">
        <f ca="1">IF(AL121&lt;=25,5.5,IF(AND(AL121&gt;25,AL121&lt;=100),ROUNDUP(0.8/75*AL121+5.2333,1),IF(AND(AL121&gt;100,AL121&lt;=150),ROUNDUP(0.7/50*AL121+4.9,1),ROUNDUP(1/50*AL121+4,1))))</f>
        <v>5.5</v>
      </c>
      <c r="AQ121" s="357">
        <f ca="1">IF(AL121&lt;=25,5.5,IF(AND(AL121&gt;25,AL121&lt;=100),ROUNDUP(0.7/60*AL121+5.0333,1),ROUNDUP(1/100*AL121+5.2,1)))</f>
        <v>5.5</v>
      </c>
      <c r="AR121" s="357">
        <f ca="1">IF(AL121&lt;=50,5.9,IF(AND(AL121&gt;50,AL121&lt;=100),ROUNDUP(0.1/50*AL121+5.8,1),ROUNDUP(0.5/100*AL121+5.5,1)))</f>
        <v>5.9</v>
      </c>
      <c r="BB121" s="50"/>
    </row>
    <row r="122" spans="37:54" x14ac:dyDescent="0.15">
      <c r="AK122" s="423"/>
      <c r="AL122" s="425"/>
      <c r="AM122" s="357" t="s">
        <v>144</v>
      </c>
      <c r="AN122" s="357">
        <f t="shared" ref="AN122" ca="1" si="51">IF(AL121&lt;=30,7.1,IF(AND(AL121&gt;30,AL121&lt;=50),ROUNDUP(-0.6/20*AL121+8,1),IF(AND(AL121&gt;50,AL121&lt;=100),ROUNDUP(0.1/50*AL121+6.4,1),IF(AND(AL121&gt;100,AL121&lt;=125),ROUNDUP(0.5/25*AL121+4.6,1),ROUNDUP(1.4/25*AL121+0.1,1)))))</f>
        <v>7.1</v>
      </c>
      <c r="AO122" s="357">
        <f t="shared" ca="1" si="32"/>
        <v>5.9</v>
      </c>
      <c r="AP122" s="357">
        <f ca="1">IF(AL121&lt;=25,ROUNDUP(0.8/25*AL121+5.9,1),IF(AND(AL121&gt;25,AL121&lt;=50),ROUNDUP(0.4/25*AL121+6.3,1),IF(AND(AL121&gt;50,AL121&lt;=70),ROUNDUP(0.1/20*AL121+6.85,1),IF(AND(AL121&gt;70,AL121&lt;=100),ROUNDUP(-0.1/30*AL121+7.4333,1),IF(AND(AL121&gt;100,AL121&lt;=150),ROUNDUP(0.4/50*AL121+6.3,1),ROUNDUP(0.7/50*AL121+5.4,1))))))</f>
        <v>5.9</v>
      </c>
      <c r="AQ122" s="357">
        <f ca="1">IF(AL121&lt;=25,ROUNDUP(0.7/25*AL121+5.8,1),IF(AND(AL121&gt;25,AL121&lt;=50),ROUNDUP(0.4/25*AL121+6.1,1),IF(AND(AL121&gt;50,AL121&lt;=75),ROUNDUP(0.3/25*AL121+6.3,1),IF(AND(AL121&gt;75,AL121&lt;=100),ROUNDUP(0.1/25*AL121+6.9,1),IF(AND(AL121&gt;100,AL121&lt;=120),7.3,IF(AND(AL121&gt;120,AL121&lt;=160),ROUNDUP(-0.2/40*AL121+7.9,1),ROUNDUP(0.3/40*AL121+5.9,1)))))))</f>
        <v>5.8</v>
      </c>
      <c r="AR122" s="357">
        <f ca="1">IF(AL121&lt;=50,ROUNDUP(0.75/100*AL121+5.6,1),ROUNDUP(0.15/100*AL121+6.2,1))</f>
        <v>5.6</v>
      </c>
      <c r="BB122" s="50"/>
    </row>
    <row r="123" spans="37:54" x14ac:dyDescent="0.15">
      <c r="AK123" s="423"/>
      <c r="AL123" s="426"/>
      <c r="AM123" s="357" t="s">
        <v>145</v>
      </c>
      <c r="AN123" s="357">
        <f t="shared" ref="AN123" ca="1" si="52">IF(AL121&lt;=20,6.1,IF(AND(AL121&gt;20,AL121&lt;=50),ROUNDUP(0.4/30*AL121+5.8333,1),IF(AND(AL121&gt;50,AL121&lt;=100),ROUNDUP(0.4/50*AL121+6.1,1),ROUNDUP(3.3/150*AL121+4.7,1))))</f>
        <v>6.1</v>
      </c>
      <c r="AO123" s="357">
        <f t="shared" ca="1" si="32"/>
        <v>5.6</v>
      </c>
      <c r="AP123" s="357">
        <f ca="1">IF(AL121&lt;=8,5.6,IF(AND(AL121&gt;8,AL121&lt;=17),ROUNDUP(0.3/9*AL121+5.3333,1),IF(AND(AL121&gt;17,AL121&lt;=135),ROUNDUP(0.4/118*AL121+5.8423,1),ROUNDUP(1.1/65*AL121+4.0153,1))))</f>
        <v>5.6</v>
      </c>
      <c r="AQ123" s="357">
        <f ca="1">IF(AL121&lt;=8,5.6,IF(AND(AL121&gt;8,AL121&lt;=10),ROUNDUP(0.3/2*AL121+4.4,1),IF(AND(AL121&gt;10,AL121&lt;=17),ROUNDUP(0.1/7*AL121+5.7571,1),IF(AND(AL121&gt;17,AL121&lt;=50),ROUNDUP(0.3/33*AL121+5.8454,1),IF(AND(AL121&gt;50,AL121&lt;=150),ROUNDUP(0.3/100*AL121+6.15,1),ROUNDUP(0.2/50*AL121+6,1))))))</f>
        <v>5.6</v>
      </c>
      <c r="AR123" s="357">
        <f ca="1">IF(AL121&lt;=10,5.5,IF(AND(AL121&gt;10,AL121&lt;=68),ROUNDUP(0.7/58*AL121+5.3793,1),IF(AND(AL121&gt;68,AL121&lt;=138),ROUNDUP(0.4/70*AL121+5.8114,1),ROUNDUP(0.1/62*AL121+6.3774,1))))</f>
        <v>5.5</v>
      </c>
      <c r="BB123" s="50"/>
    </row>
    <row r="124" spans="37:54" x14ac:dyDescent="0.15">
      <c r="AK124" s="423" t="s">
        <v>167</v>
      </c>
      <c r="AL124" s="424">
        <f t="shared" ref="AL124" ca="1" si="53">K29</f>
        <v>0</v>
      </c>
      <c r="AM124" s="357" t="s">
        <v>143</v>
      </c>
      <c r="AN124" s="357">
        <f t="shared" ref="AN124" ca="1" si="54">IF(AL124&lt;=25,5.7,IF(AND(AL124&gt;25,AL124&lt;=75),ROUNDUP(0.3/25*AL124+5.4,1),IF(AND(AL124&gt;75,AL124&lt;=100),ROUNDUP(0.4/25*AL124+5.1,1),ROUNDUP(0.5/25*AL124+4.7,1))))</f>
        <v>5.7</v>
      </c>
      <c r="AO124" s="357">
        <f t="shared" ca="1" si="32"/>
        <v>5.5</v>
      </c>
      <c r="AP124" s="357">
        <f ca="1">IF(AL124&lt;=25,5.5,IF(AND(AL124&gt;25,AL124&lt;=100),ROUNDUP(0.8/75*AL124+5.2333,1),IF(AND(AL124&gt;100,AL124&lt;=150),ROUNDUP(0.7/50*AL124+4.9,1),ROUNDUP(1/50*AL124+4,1))))</f>
        <v>5.5</v>
      </c>
      <c r="AQ124" s="357">
        <f ca="1">IF(AL124&lt;=25,5.5,IF(AND(AL124&gt;25,AL124&lt;=100),ROUNDUP(0.7/60*AL124+5.0333,1),ROUNDUP(1/100*AL124+5.2,1)))</f>
        <v>5.5</v>
      </c>
      <c r="AR124" s="357">
        <f ca="1">IF(AL124&lt;=50,5.9,IF(AND(AL124&gt;50,AL124&lt;=100),ROUNDUP(0.1/50*AL124+5.8,1),ROUNDUP(0.5/100*AL124+5.5,1)))</f>
        <v>5.9</v>
      </c>
      <c r="BB124" s="50"/>
    </row>
    <row r="125" spans="37:54" x14ac:dyDescent="0.15">
      <c r="AK125" s="423"/>
      <c r="AL125" s="425"/>
      <c r="AM125" s="357" t="s">
        <v>144</v>
      </c>
      <c r="AN125" s="357">
        <f t="shared" ref="AN125" ca="1" si="55">IF(AL124&lt;=30,7.1,IF(AND(AL124&gt;30,AL124&lt;=50),ROUNDUP(-0.6/20*AL124+8,1),IF(AND(AL124&gt;50,AL124&lt;=100),ROUNDUP(0.1/50*AL124+6.4,1),IF(AND(AL124&gt;100,AL124&lt;=125),ROUNDUP(0.5/25*AL124+4.6,1),ROUNDUP(1.4/25*AL124+0.1,1)))))</f>
        <v>7.1</v>
      </c>
      <c r="AO125" s="357">
        <f t="shared" ca="1" si="32"/>
        <v>5.9</v>
      </c>
      <c r="AP125" s="357">
        <f ca="1">IF(AL124&lt;=25,ROUNDUP(0.8/25*AL124+5.9,1),IF(AND(AL124&gt;25,AL124&lt;=50),ROUNDUP(0.4/25*AL124+6.3,1),IF(AND(AL124&gt;50,AL124&lt;=70),ROUNDUP(0.1/20*AL124+6.85,1),IF(AND(AL124&gt;70,AL124&lt;=100),ROUNDUP(-0.1/30*AL124+7.4333,1),IF(AND(AL124&gt;100,AL124&lt;=150),ROUNDUP(0.4/50*AL124+6.3,1),ROUNDUP(0.7/50*AL124+5.4,1))))))</f>
        <v>5.9</v>
      </c>
      <c r="AQ125" s="357">
        <f ca="1">IF(AL124&lt;=25,ROUNDUP(0.7/25*AL124+5.8,1),IF(AND(AL124&gt;25,AL124&lt;=50),ROUNDUP(0.4/25*AL124+6.1,1),IF(AND(AL124&gt;50,AL124&lt;=75),ROUNDUP(0.3/25*AL124+6.3,1),IF(AND(AL124&gt;75,AL124&lt;=100),ROUNDUP(0.1/25*AL124+6.9,1),IF(AND(AL124&gt;100,AL124&lt;=120),7.3,IF(AND(AL124&gt;120,AL124&lt;=160),ROUNDUP(-0.2/40*AL124+7.9,1),ROUNDUP(0.3/40*AL124+5.9,1)))))))</f>
        <v>5.8</v>
      </c>
      <c r="AR125" s="357">
        <f ca="1">IF(AL124&lt;=50,ROUNDUP(0.75/100*AL124+5.6,1),ROUNDUP(0.15/100*AL124+6.2,1))</f>
        <v>5.6</v>
      </c>
      <c r="BB125" s="50"/>
    </row>
    <row r="126" spans="37:54" x14ac:dyDescent="0.15">
      <c r="AK126" s="423"/>
      <c r="AL126" s="426"/>
      <c r="AM126" s="357" t="s">
        <v>145</v>
      </c>
      <c r="AN126" s="357">
        <f t="shared" ref="AN126" ca="1" si="56">IF(AL124&lt;=20,6.1,IF(AND(AL124&gt;20,AL124&lt;=50),ROUNDUP(0.4/30*AL124+5.8333,1),IF(AND(AL124&gt;50,AL124&lt;=100),ROUNDUP(0.4/50*AL124+6.1,1),ROUNDUP(3.3/150*AL124+4.7,1))))</f>
        <v>6.1</v>
      </c>
      <c r="AO126" s="357">
        <f t="shared" ca="1" si="32"/>
        <v>5.6</v>
      </c>
      <c r="AP126" s="357">
        <f ca="1">IF(AL124&lt;=8,5.6,IF(AND(AL124&gt;8,AL124&lt;=17),ROUNDUP(0.3/9*AL124+5.3333,1),IF(AND(AL124&gt;17,AL124&lt;=135),ROUNDUP(0.4/118*AL124+5.8423,1),ROUNDUP(1.1/65*AL124+4.0153,1))))</f>
        <v>5.6</v>
      </c>
      <c r="AQ126" s="357">
        <f ca="1">IF(AL124&lt;=8,5.6,IF(AND(AL124&gt;8,AL124&lt;=10),ROUNDUP(0.3/2*AL124+4.4,1),IF(AND(AL124&gt;10,AL124&lt;=17),ROUNDUP(0.1/7*AL124+5.7571,1),IF(AND(AL124&gt;17,AL124&lt;=50),ROUNDUP(0.3/33*AL124+5.8454,1),IF(AND(AL124&gt;50,AL124&lt;=150),ROUNDUP(0.3/100*AL124+6.15,1),ROUNDUP(0.2/50*AL124+6,1))))))</f>
        <v>5.6</v>
      </c>
      <c r="AR126" s="357">
        <f ca="1">IF(AL124&lt;=10,5.5,IF(AND(AL124&gt;10,AL124&lt;=68),ROUNDUP(0.7/58*AL124+5.3793,1),IF(AND(AL124&gt;68,AL124&lt;=138),ROUNDUP(0.4/70*AL124+5.8114,1),ROUNDUP(0.1/62*AL124+6.3774,1))))</f>
        <v>5.5</v>
      </c>
      <c r="BB126" s="50"/>
    </row>
    <row r="127" spans="37:54" x14ac:dyDescent="0.15">
      <c r="AK127" s="423" t="s">
        <v>168</v>
      </c>
      <c r="AL127" s="424">
        <f t="shared" ref="AL127" ca="1" si="57">K32</f>
        <v>0</v>
      </c>
      <c r="AM127" s="357" t="s">
        <v>143</v>
      </c>
      <c r="AN127" s="357">
        <f t="shared" ref="AN127" ca="1" si="58">IF(AL127&lt;=25,5.7,IF(AND(AL127&gt;25,AL127&lt;=75),ROUNDUP(0.3/25*AL127+5.4,1),IF(AND(AL127&gt;75,AL127&lt;=100),ROUNDUP(0.4/25*AL127+5.1,1),ROUNDUP(0.5/25*AL127+4.7,1))))</f>
        <v>5.7</v>
      </c>
      <c r="AO127" s="357">
        <f t="shared" ca="1" si="32"/>
        <v>5.5</v>
      </c>
      <c r="AP127" s="357">
        <f ca="1">IF(AL127&lt;=25,5.5,IF(AND(AL127&gt;25,AL127&lt;=100),ROUNDUP(0.8/75*AL127+5.2333,1),IF(AND(AL127&gt;100,AL127&lt;=150),ROUNDUP(0.7/50*AL127+4.9,1),ROUNDUP(1/50*AL127+4,1))))</f>
        <v>5.5</v>
      </c>
      <c r="AQ127" s="357">
        <f ca="1">IF(AL127&lt;=25,5.5,IF(AND(AL127&gt;25,AL127&lt;=100),ROUNDUP(0.7/60*AL127+5.0333,1),ROUNDUP(1/100*AL127+5.2,1)))</f>
        <v>5.5</v>
      </c>
      <c r="AR127" s="357">
        <f ca="1">IF(AL127&lt;=50,5.9,IF(AND(AL127&gt;50,AL127&lt;=100),ROUNDUP(0.1/50*AL127+5.8,1),ROUNDUP(0.5/100*AL127+5.5,1)))</f>
        <v>5.9</v>
      </c>
      <c r="BB127" s="50"/>
    </row>
    <row r="128" spans="37:54" x14ac:dyDescent="0.15">
      <c r="AK128" s="423"/>
      <c r="AL128" s="425"/>
      <c r="AM128" s="357" t="s">
        <v>144</v>
      </c>
      <c r="AN128" s="357">
        <f t="shared" ref="AN128" ca="1" si="59">IF(AL127&lt;=30,7.1,IF(AND(AL127&gt;30,AL127&lt;=50),ROUNDUP(-0.6/20*AL127+8,1),IF(AND(AL127&gt;50,AL127&lt;=100),ROUNDUP(0.1/50*AL127+6.4,1),IF(AND(AL127&gt;100,AL127&lt;=125),ROUNDUP(0.5/25*AL127+4.6,1),ROUNDUP(1.4/25*AL127+0.1,1)))))</f>
        <v>7.1</v>
      </c>
      <c r="AO128" s="357">
        <f t="shared" ca="1" si="32"/>
        <v>5.9</v>
      </c>
      <c r="AP128" s="357">
        <f ca="1">IF(AL127&lt;=25,ROUNDUP(0.8/25*AL127+5.9,1),IF(AND(AL127&gt;25,AL127&lt;=50),ROUNDUP(0.4/25*AL127+6.3,1),IF(AND(AL127&gt;50,AL127&lt;=70),ROUNDUP(0.1/20*AL127+6.85,1),IF(AND(AL127&gt;70,AL127&lt;=100),ROUNDUP(-0.1/30*AL127+7.4333,1),IF(AND(AL127&gt;100,AL127&lt;=150),ROUNDUP(0.4/50*AL127+6.3,1),ROUNDUP(0.7/50*AL127+5.4,1))))))</f>
        <v>5.9</v>
      </c>
      <c r="AQ128" s="357">
        <f ca="1">IF(AL127&lt;=25,ROUNDUP(0.7/25*AL127+5.8,1),IF(AND(AL127&gt;25,AL127&lt;=50),ROUNDUP(0.4/25*AL127+6.1,1),IF(AND(AL127&gt;50,AL127&lt;=75),ROUNDUP(0.3/25*AL127+6.3,1),IF(AND(AL127&gt;75,AL127&lt;=100),ROUNDUP(0.1/25*AL127+6.9,1),IF(AND(AL127&gt;100,AL127&lt;=120),7.3,IF(AND(AL127&gt;120,AL127&lt;=160),ROUNDUP(-0.2/40*AL127+7.9,1),ROUNDUP(0.3/40*AL127+5.9,1)))))))</f>
        <v>5.8</v>
      </c>
      <c r="AR128" s="357">
        <f ca="1">IF(AL127&lt;=50,ROUNDUP(0.75/100*AL127+5.6,1),ROUNDUP(0.15/100*AL127+6.2,1))</f>
        <v>5.6</v>
      </c>
      <c r="BB128" s="50"/>
    </row>
    <row r="129" spans="37:54" x14ac:dyDescent="0.15">
      <c r="AK129" s="423"/>
      <c r="AL129" s="426"/>
      <c r="AM129" s="357" t="s">
        <v>145</v>
      </c>
      <c r="AN129" s="357">
        <f t="shared" ref="AN129" ca="1" si="60">IF(AL127&lt;=20,6.1,IF(AND(AL127&gt;20,AL127&lt;=50),ROUNDUP(0.4/30*AL127+5.8333,1),IF(AND(AL127&gt;50,AL127&lt;=100),ROUNDUP(0.4/50*AL127+6.1,1),ROUNDUP(3.3/150*AL127+4.7,1))))</f>
        <v>6.1</v>
      </c>
      <c r="AO129" s="357">
        <f t="shared" ca="1" si="32"/>
        <v>5.6</v>
      </c>
      <c r="AP129" s="357">
        <f ca="1">IF(AL127&lt;=8,5.6,IF(AND(AL127&gt;8,AL127&lt;=17),ROUNDUP(0.3/9*AL127+5.3333,1),IF(AND(AL127&gt;17,AL127&lt;=135),ROUNDUP(0.4/118*AL127+5.8423,1),ROUNDUP(1.1/65*AL127+4.0153,1))))</f>
        <v>5.6</v>
      </c>
      <c r="AQ129" s="357">
        <f ca="1">IF(AL127&lt;=8,5.6,IF(AND(AL127&gt;8,AL127&lt;=10),ROUNDUP(0.3/2*AL127+4.4,1),IF(AND(AL127&gt;10,AL127&lt;=17),ROUNDUP(0.1/7*AL127+5.7571,1),IF(AND(AL127&gt;17,AL127&lt;=50),ROUNDUP(0.3/33*AL127+5.8454,1),IF(AND(AL127&gt;50,AL127&lt;=150),ROUNDUP(0.3/100*AL127+6.15,1),ROUNDUP(0.2/50*AL127+6,1))))))</f>
        <v>5.6</v>
      </c>
      <c r="AR129" s="357">
        <f ca="1">IF(AL127&lt;=10,5.5,IF(AND(AL127&gt;10,AL127&lt;=68),ROUNDUP(0.7/58*AL127+5.3793,1),IF(AND(AL127&gt;68,AL127&lt;=138),ROUNDUP(0.4/70*AL127+5.8114,1),ROUNDUP(0.1/62*AL127+6.3774,1))))</f>
        <v>5.5</v>
      </c>
      <c r="BB129" s="50"/>
    </row>
    <row r="130" spans="37:54" x14ac:dyDescent="0.15">
      <c r="AK130" s="423" t="s">
        <v>169</v>
      </c>
      <c r="AL130" s="424">
        <f t="shared" ref="AL130" ca="1" si="61">K35</f>
        <v>0</v>
      </c>
      <c r="AM130" s="357" t="s">
        <v>143</v>
      </c>
      <c r="AN130" s="357">
        <f t="shared" ref="AN130" ca="1" si="62">IF(AL130&lt;=25,5.7,IF(AND(AL130&gt;25,AL130&lt;=75),ROUNDUP(0.3/25*AL130+5.4,1),IF(AND(AL130&gt;75,AL130&lt;=100),ROUNDUP(0.4/25*AL130+5.1,1),ROUNDUP(0.5/25*AL130+4.7,1))))</f>
        <v>5.7</v>
      </c>
      <c r="AO130" s="357">
        <f t="shared" ca="1" si="32"/>
        <v>5.5</v>
      </c>
      <c r="AP130" s="357">
        <f ca="1">IF(AL130&lt;=25,5.5,IF(AND(AL130&gt;25,AL130&lt;=100),ROUNDUP(0.8/75*AL130+5.2333,1),IF(AND(AL130&gt;100,AL130&lt;=150),ROUNDUP(0.7/50*AL130+4.9,1),ROUNDUP(1/50*AL130+4,1))))</f>
        <v>5.5</v>
      </c>
      <c r="AQ130" s="357">
        <f ca="1">IF(AL130&lt;=25,5.5,IF(AND(AL130&gt;25,AL130&lt;=100),ROUNDUP(0.7/60*AL130+5.0333,1),ROUNDUP(1/100*AL130+5.2,1)))</f>
        <v>5.5</v>
      </c>
      <c r="AR130" s="357">
        <f ca="1">IF(AL130&lt;=50,5.9,IF(AND(AL130&gt;50,AL130&lt;=100),ROUNDUP(0.1/50*AL130+5.8,1),ROUNDUP(0.5/100*AL130+5.5,1)))</f>
        <v>5.9</v>
      </c>
      <c r="BB130" s="50"/>
    </row>
    <row r="131" spans="37:54" x14ac:dyDescent="0.15">
      <c r="AK131" s="423"/>
      <c r="AL131" s="425"/>
      <c r="AM131" s="357" t="s">
        <v>144</v>
      </c>
      <c r="AN131" s="357">
        <f t="shared" ref="AN131" ca="1" si="63">IF(AL130&lt;=30,7.1,IF(AND(AL130&gt;30,AL130&lt;=50),ROUNDUP(-0.6/20*AL130+8,1),IF(AND(AL130&gt;50,AL130&lt;=100),ROUNDUP(0.1/50*AL130+6.4,1),IF(AND(AL130&gt;100,AL130&lt;=125),ROUNDUP(0.5/25*AL130+4.6,1),ROUNDUP(1.4/25*AL130+0.1,1)))))</f>
        <v>7.1</v>
      </c>
      <c r="AO131" s="357">
        <f t="shared" ca="1" si="32"/>
        <v>5.9</v>
      </c>
      <c r="AP131" s="357">
        <f ca="1">IF(AL130&lt;=25,ROUNDUP(0.8/25*AL130+5.9,1),IF(AND(AL130&gt;25,AL130&lt;=50),ROUNDUP(0.4/25*AL130+6.3,1),IF(AND(AL130&gt;50,AL130&lt;=70),ROUNDUP(0.1/20*AL130+6.85,1),IF(AND(AL130&gt;70,AL130&lt;=100),ROUNDUP(-0.1/30*AL130+7.4333,1),IF(AND(AL130&gt;100,AL130&lt;=150),ROUNDUP(0.4/50*AL130+6.3,1),ROUNDUP(0.7/50*AL130+5.4,1))))))</f>
        <v>5.9</v>
      </c>
      <c r="AQ131" s="357">
        <f ca="1">IF(AL130&lt;=25,ROUNDUP(0.7/25*AL130+5.8,1),IF(AND(AL130&gt;25,AL130&lt;=50),ROUNDUP(0.4/25*AL130+6.1,1),IF(AND(AL130&gt;50,AL130&lt;=75),ROUNDUP(0.3/25*AL130+6.3,1),IF(AND(AL130&gt;75,AL130&lt;=100),ROUNDUP(0.1/25*AL130+6.9,1),IF(AND(AL130&gt;100,AL130&lt;=120),7.3,IF(AND(AL130&gt;120,AL130&lt;=160),ROUNDUP(-0.2/40*AL130+7.9,1),ROUNDUP(0.3/40*AL130+5.9,1)))))))</f>
        <v>5.8</v>
      </c>
      <c r="AR131" s="357">
        <f ca="1">IF(AL130&lt;=50,ROUNDUP(0.75/100*AL130+5.6,1),ROUNDUP(0.15/100*AL130+6.2,1))</f>
        <v>5.6</v>
      </c>
      <c r="BB131" s="50"/>
    </row>
    <row r="132" spans="37:54" x14ac:dyDescent="0.15">
      <c r="AK132" s="423"/>
      <c r="AL132" s="426"/>
      <c r="AM132" s="357" t="s">
        <v>145</v>
      </c>
      <c r="AN132" s="357">
        <f t="shared" ref="AN132" ca="1" si="64">IF(AL130&lt;=20,6.1,IF(AND(AL130&gt;20,AL130&lt;=50),ROUNDUP(0.4/30*AL130+5.8333,1),IF(AND(AL130&gt;50,AL130&lt;=100),ROUNDUP(0.4/50*AL130+6.1,1),ROUNDUP(3.3/150*AL130+4.7,1))))</f>
        <v>6.1</v>
      </c>
      <c r="AO132" s="357">
        <f t="shared" ca="1" si="32"/>
        <v>5.6</v>
      </c>
      <c r="AP132" s="357">
        <f ca="1">IF(AL130&lt;=8,5.6,IF(AND(AL130&gt;8,AL130&lt;=17),ROUNDUP(0.3/9*AL130+5.3333,1),IF(AND(AL130&gt;17,AL130&lt;=135),ROUNDUP(0.4/118*AL130+5.8423,1),ROUNDUP(1.1/65*AL130+4.0153,1))))</f>
        <v>5.6</v>
      </c>
      <c r="AQ132" s="357">
        <f ca="1">IF(AL130&lt;=8,5.6,IF(AND(AL130&gt;8,AL130&lt;=10),ROUNDUP(0.3/2*AL130+4.4,1),IF(AND(AL130&gt;10,AL130&lt;=17),ROUNDUP(0.1/7*AL130+5.7571,1),IF(AND(AL130&gt;17,AL130&lt;=50),ROUNDUP(0.3/33*AL130+5.8454,1),IF(AND(AL130&gt;50,AL130&lt;=150),ROUNDUP(0.3/100*AL130+6.15,1),ROUNDUP(0.2/50*AL130+6,1))))))</f>
        <v>5.6</v>
      </c>
      <c r="AR132" s="357">
        <f ca="1">IF(AL130&lt;=10,5.5,IF(AND(AL130&gt;10,AL130&lt;=68),ROUNDUP(0.7/58*AL130+5.3793,1),IF(AND(AL130&gt;68,AL130&lt;=138),ROUNDUP(0.4/70*AL130+5.8114,1),ROUNDUP(0.1/62*AL130+6.3774,1))))</f>
        <v>5.5</v>
      </c>
      <c r="BB132" s="50"/>
    </row>
    <row r="133" spans="37:54" x14ac:dyDescent="0.15">
      <c r="AK133" s="423" t="s">
        <v>170</v>
      </c>
      <c r="AL133" s="424">
        <f t="shared" ref="AL133" ca="1" si="65">K38</f>
        <v>0</v>
      </c>
      <c r="AM133" s="357" t="s">
        <v>143</v>
      </c>
      <c r="AN133" s="357">
        <f t="shared" ref="AN133" ca="1" si="66">IF(AL133&lt;=25,5.7,IF(AND(AL133&gt;25,AL133&lt;=75),ROUNDUP(0.3/25*AL133+5.4,1),IF(AND(AL133&gt;75,AL133&lt;=100),ROUNDUP(0.4/25*AL133+5.1,1),ROUNDUP(0.5/25*AL133+4.7,1))))</f>
        <v>5.7</v>
      </c>
      <c r="AO133" s="357">
        <f t="shared" ca="1" si="32"/>
        <v>5.5</v>
      </c>
      <c r="AP133" s="357">
        <f ca="1">IF(AL133&lt;=25,5.5,IF(AND(AL133&gt;25,AL133&lt;=100),ROUNDUP(0.8/75*AL133+5.2333,1),IF(AND(AL133&gt;100,AL133&lt;=150),ROUNDUP(0.7/50*AL133+4.9,1),ROUNDUP(1/50*AL133+4,1))))</f>
        <v>5.5</v>
      </c>
      <c r="AQ133" s="357">
        <f ca="1">IF(AL133&lt;=25,5.5,IF(AND(AL133&gt;25,AL133&lt;=100),ROUNDUP(0.7/60*AL133+5.0333,1),ROUNDUP(1/100*AL133+5.2,1)))</f>
        <v>5.5</v>
      </c>
      <c r="AR133" s="357">
        <f ca="1">IF(AL133&lt;=50,5.9,IF(AND(AL133&gt;50,AL133&lt;=100),ROUNDUP(0.1/50*AL133+5.8,1),ROUNDUP(0.5/100*AL133+5.5,1)))</f>
        <v>5.9</v>
      </c>
      <c r="BB133" s="50"/>
    </row>
    <row r="134" spans="37:54" x14ac:dyDescent="0.15">
      <c r="AK134" s="423"/>
      <c r="AL134" s="425"/>
      <c r="AM134" s="357" t="s">
        <v>144</v>
      </c>
      <c r="AN134" s="357">
        <f t="shared" ref="AN134" ca="1" si="67">IF(AL133&lt;=30,7.1,IF(AND(AL133&gt;30,AL133&lt;=50),ROUNDUP(-0.6/20*AL133+8,1),IF(AND(AL133&gt;50,AL133&lt;=100),ROUNDUP(0.1/50*AL133+6.4,1),IF(AND(AL133&gt;100,AL133&lt;=125),ROUNDUP(0.5/25*AL133+4.6,1),ROUNDUP(1.4/25*AL133+0.1,1)))))</f>
        <v>7.1</v>
      </c>
      <c r="AO134" s="357">
        <f t="shared" ca="1" si="32"/>
        <v>5.9</v>
      </c>
      <c r="AP134" s="357">
        <f ca="1">IF(AL133&lt;=25,ROUNDUP(0.8/25*AL133+5.9,1),IF(AND(AL133&gt;25,AL133&lt;=50),ROUNDUP(0.4/25*AL133+6.3,1),IF(AND(AL133&gt;50,AL133&lt;=70),ROUNDUP(0.1/20*AL133+6.85,1),IF(AND(AL133&gt;70,AL133&lt;=100),ROUNDUP(-0.1/30*AL133+7.4333,1),IF(AND(AL133&gt;100,AL133&lt;=150),ROUNDUP(0.4/50*AL133+6.3,1),ROUNDUP(0.7/50*AL133+5.4,1))))))</f>
        <v>5.9</v>
      </c>
      <c r="AQ134" s="357">
        <f ca="1">IF(AL133&lt;=25,ROUNDUP(0.7/25*AL133+5.8,1),IF(AND(AL133&gt;25,AL133&lt;=50),ROUNDUP(0.4/25*AL133+6.1,1),IF(AND(AL133&gt;50,AL133&lt;=75),ROUNDUP(0.3/25*AL133+6.3,1),IF(AND(AL133&gt;75,AL133&lt;=100),ROUNDUP(0.1/25*AL133+6.9,1),IF(AND(AL133&gt;100,AL133&lt;=120),7.3,IF(AND(AL133&gt;120,AL133&lt;=160),ROUNDUP(-0.2/40*AL133+7.9,1),ROUNDUP(0.3/40*AL133+5.9,1)))))))</f>
        <v>5.8</v>
      </c>
      <c r="AR134" s="357">
        <f ca="1">IF(AL133&lt;=50,ROUNDUP(0.75/100*AL133+5.6,1),ROUNDUP(0.15/100*AL133+6.2,1))</f>
        <v>5.6</v>
      </c>
      <c r="BB134" s="50"/>
    </row>
    <row r="135" spans="37:54" x14ac:dyDescent="0.15">
      <c r="AK135" s="423"/>
      <c r="AL135" s="426"/>
      <c r="AM135" s="357" t="s">
        <v>145</v>
      </c>
      <c r="AN135" s="357">
        <f t="shared" ref="AN135" ca="1" si="68">IF(AL133&lt;=20,6.1,IF(AND(AL133&gt;20,AL133&lt;=50),ROUNDUP(0.4/30*AL133+5.8333,1),IF(AND(AL133&gt;50,AL133&lt;=100),ROUNDUP(0.4/50*AL133+6.1,1),ROUNDUP(3.3/150*AL133+4.7,1))))</f>
        <v>6.1</v>
      </c>
      <c r="AO135" s="357">
        <f t="shared" ca="1" si="32"/>
        <v>5.6</v>
      </c>
      <c r="AP135" s="357">
        <f ca="1">IF(AL133&lt;=8,5.6,IF(AND(AL133&gt;8,AL133&lt;=17),ROUNDUP(0.3/9*AL133+5.3333,1),IF(AND(AL133&gt;17,AL133&lt;=135),ROUNDUP(0.4/118*AL133+5.8423,1),ROUNDUP(1.1/65*AL133+4.0153,1))))</f>
        <v>5.6</v>
      </c>
      <c r="AQ135" s="357">
        <f ca="1">IF(AL133&lt;=8,5.6,IF(AND(AL133&gt;8,AL133&lt;=10),ROUNDUP(0.3/2*AL133+4.4,1),IF(AND(AL133&gt;10,AL133&lt;=17),ROUNDUP(0.1/7*AL133+5.7571,1),IF(AND(AL133&gt;17,AL133&lt;=50),ROUNDUP(0.3/33*AL133+5.8454,1),IF(AND(AL133&gt;50,AL133&lt;=150),ROUNDUP(0.3/100*AL133+6.15,1),ROUNDUP(0.2/50*AL133+6,1))))))</f>
        <v>5.6</v>
      </c>
      <c r="AR135" s="357">
        <f ca="1">IF(AL133&lt;=10,5.5,IF(AND(AL133&gt;10,AL133&lt;=68),ROUNDUP(0.7/58*AL133+5.3793,1),IF(AND(AL133&gt;68,AL133&lt;=138),ROUNDUP(0.4/70*AL133+5.8114,1),ROUNDUP(0.1/62*AL133+6.3774,1))))</f>
        <v>5.5</v>
      </c>
      <c r="BB135" s="50"/>
    </row>
    <row r="136" spans="37:54" x14ac:dyDescent="0.15">
      <c r="AK136" s="423" t="s">
        <v>171</v>
      </c>
      <c r="AL136" s="424">
        <f t="shared" ref="AL136" ca="1" si="69">K41</f>
        <v>0</v>
      </c>
      <c r="AM136" s="357" t="s">
        <v>143</v>
      </c>
      <c r="AN136" s="357">
        <f t="shared" ref="AN136" ca="1" si="70">IF(AL136&lt;=25,5.7,IF(AND(AL136&gt;25,AL136&lt;=75),ROUNDUP(0.3/25*AL136+5.4,1),IF(AND(AL136&gt;75,AL136&lt;=100),ROUNDUP(0.4/25*AL136+5.1,1),ROUNDUP(0.5/25*AL136+4.7,1))))</f>
        <v>5.7</v>
      </c>
      <c r="AO136" s="357">
        <f t="shared" ca="1" si="32"/>
        <v>5.5</v>
      </c>
      <c r="AP136" s="357">
        <f ca="1">IF(AL136&lt;=25,5.5,IF(AND(AL136&gt;25,AL136&lt;=100),ROUNDUP(0.8/75*AL136+5.2333,1),IF(AND(AL136&gt;100,AL136&lt;=150),ROUNDUP(0.7/50*AL136+4.9,1),ROUNDUP(1/50*AL136+4,1))))</f>
        <v>5.5</v>
      </c>
      <c r="AQ136" s="357">
        <f ca="1">IF(AL136&lt;=25,5.5,IF(AND(AL136&gt;25,AL136&lt;=100),ROUNDUP(0.7/60*AL136+5.0333,1),ROUNDUP(1/100*AL136+5.2,1)))</f>
        <v>5.5</v>
      </c>
      <c r="AR136" s="357">
        <f ca="1">IF(AL136&lt;=50,5.9,IF(AND(AL136&gt;50,AL136&lt;=100),ROUNDUP(0.1/50*AL136+5.8,1),ROUNDUP(0.5/100*AL136+5.5,1)))</f>
        <v>5.9</v>
      </c>
      <c r="BB136" s="50"/>
    </row>
    <row r="137" spans="37:54" x14ac:dyDescent="0.15">
      <c r="AK137" s="423"/>
      <c r="AL137" s="425"/>
      <c r="AM137" s="357" t="s">
        <v>144</v>
      </c>
      <c r="AN137" s="357">
        <f t="shared" ref="AN137" ca="1" si="71">IF(AL136&lt;=30,7.1,IF(AND(AL136&gt;30,AL136&lt;=50),ROUNDUP(-0.6/20*AL136+8,1),IF(AND(AL136&gt;50,AL136&lt;=100),ROUNDUP(0.1/50*AL136+6.4,1),IF(AND(AL136&gt;100,AL136&lt;=125),ROUNDUP(0.5/25*AL136+4.6,1),ROUNDUP(1.4/25*AL136+0.1,1)))))</f>
        <v>7.1</v>
      </c>
      <c r="AO137" s="357">
        <f t="shared" ca="1" si="32"/>
        <v>5.9</v>
      </c>
      <c r="AP137" s="357">
        <f ca="1">IF(AL136&lt;=25,ROUNDUP(0.8/25*AL136+5.9,1),IF(AND(AL136&gt;25,AL136&lt;=50),ROUNDUP(0.4/25*AL136+6.3,1),IF(AND(AL136&gt;50,AL136&lt;=70),ROUNDUP(0.1/20*AL136+6.85,1),IF(AND(AL136&gt;70,AL136&lt;=100),ROUNDUP(-0.1/30*AL136+7.4333,1),IF(AND(AL136&gt;100,AL136&lt;=150),ROUNDUP(0.4/50*AL136+6.3,1),ROUNDUP(0.7/50*AL136+5.4,1))))))</f>
        <v>5.9</v>
      </c>
      <c r="AQ137" s="357">
        <f ca="1">IF(AL136&lt;=25,ROUNDUP(0.7/25*AL136+5.8,1),IF(AND(AL136&gt;25,AL136&lt;=50),ROUNDUP(0.4/25*AL136+6.1,1),IF(AND(AL136&gt;50,AL136&lt;=75),ROUNDUP(0.3/25*AL136+6.3,1),IF(AND(AL136&gt;75,AL136&lt;=100),ROUNDUP(0.1/25*AL136+6.9,1),IF(AND(AL136&gt;100,AL136&lt;=120),7.3,IF(AND(AL136&gt;120,AL136&lt;=160),ROUNDUP(-0.2/40*AL136+7.9,1),ROUNDUP(0.3/40*AL136+5.9,1)))))))</f>
        <v>5.8</v>
      </c>
      <c r="AR137" s="357">
        <f ca="1">IF(AL136&lt;=50,ROUNDUP(0.75/100*AL136+5.6,1),ROUNDUP(0.15/100*AL136+6.2,1))</f>
        <v>5.6</v>
      </c>
      <c r="BB137" s="50"/>
    </row>
    <row r="138" spans="37:54" x14ac:dyDescent="0.15">
      <c r="AK138" s="423"/>
      <c r="AL138" s="426"/>
      <c r="AM138" s="357" t="s">
        <v>145</v>
      </c>
      <c r="AN138" s="357">
        <f t="shared" ref="AN138" ca="1" si="72">IF(AL136&lt;=20,6.1,IF(AND(AL136&gt;20,AL136&lt;=50),ROUNDUP(0.4/30*AL136+5.8333,1),IF(AND(AL136&gt;50,AL136&lt;=100),ROUNDUP(0.4/50*AL136+6.1,1),ROUNDUP(3.3/150*AL136+4.7,1))))</f>
        <v>6.1</v>
      </c>
      <c r="AO138" s="357">
        <f t="shared" ca="1" si="32"/>
        <v>5.6</v>
      </c>
      <c r="AP138" s="357">
        <f ca="1">IF(AL136&lt;=8,5.6,IF(AND(AL136&gt;8,AL136&lt;=17),ROUNDUP(0.3/9*AL136+5.3333,1),IF(AND(AL136&gt;17,AL136&lt;=135),ROUNDUP(0.4/118*AL136+5.8423,1),ROUNDUP(1.1/65*AL136+4.0153,1))))</f>
        <v>5.6</v>
      </c>
      <c r="AQ138" s="357">
        <f ca="1">IF(AL136&lt;=8,5.6,IF(AND(AL136&gt;8,AL136&lt;=10),ROUNDUP(0.3/2*AL136+4.4,1),IF(AND(AL136&gt;10,AL136&lt;=17),ROUNDUP(0.1/7*AL136+5.7571,1),IF(AND(AL136&gt;17,AL136&lt;=50),ROUNDUP(0.3/33*AL136+5.8454,1),IF(AND(AL136&gt;50,AL136&lt;=150),ROUNDUP(0.3/100*AL136+6.15,1),ROUNDUP(0.2/50*AL136+6,1))))))</f>
        <v>5.6</v>
      </c>
      <c r="AR138" s="357">
        <f ca="1">IF(AL136&lt;=10,5.5,IF(AND(AL136&gt;10,AL136&lt;=68),ROUNDUP(0.7/58*AL136+5.3793,1),IF(AND(AL136&gt;68,AL136&lt;=138),ROUNDUP(0.4/70*AL136+5.8114,1),ROUNDUP(0.1/62*AL136+6.3774,1))))</f>
        <v>5.5</v>
      </c>
      <c r="BB138" s="50"/>
    </row>
  </sheetData>
  <sheetProtection password="CEE3" sheet="1" objects="1" scenarios="1"/>
  <mergeCells count="32">
    <mergeCell ref="AK133:AK135"/>
    <mergeCell ref="AL133:AL135"/>
    <mergeCell ref="AK136:AK138"/>
    <mergeCell ref="AL136:AL138"/>
    <mergeCell ref="AK124:AK126"/>
    <mergeCell ref="AL124:AL126"/>
    <mergeCell ref="AK127:AK129"/>
    <mergeCell ref="AL127:AL129"/>
    <mergeCell ref="AK130:AK132"/>
    <mergeCell ref="AL130:AL132"/>
    <mergeCell ref="AK115:AK117"/>
    <mergeCell ref="AL115:AL117"/>
    <mergeCell ref="AK118:AK120"/>
    <mergeCell ref="AL118:AL120"/>
    <mergeCell ref="AK121:AK123"/>
    <mergeCell ref="AL121:AL123"/>
    <mergeCell ref="AK106:AK108"/>
    <mergeCell ref="AL106:AL108"/>
    <mergeCell ref="AK109:AK111"/>
    <mergeCell ref="AL109:AL111"/>
    <mergeCell ref="AK112:AK114"/>
    <mergeCell ref="AL112:AL114"/>
    <mergeCell ref="F1:M1"/>
    <mergeCell ref="F53:H53"/>
    <mergeCell ref="I3:L3"/>
    <mergeCell ref="O3:Q3"/>
    <mergeCell ref="X3:Z3"/>
    <mergeCell ref="AB8:AB9"/>
    <mergeCell ref="F51:H51"/>
    <mergeCell ref="F3:H3"/>
    <mergeCell ref="F5:H5"/>
    <mergeCell ref="T3:U3"/>
  </mergeCells>
  <phoneticPr fontId="4"/>
  <dataValidations count="2">
    <dataValidation type="list" allowBlank="1" showInputMessage="1" sqref="U10:U42">
      <formula1>#REF!</formula1>
    </dataValidation>
    <dataValidation allowBlank="1" showDropDown="1" showInputMessage="1" showErrorMessage="1" sqref="I10 I34 I25 I22 I19 I16 I40 I37 I13 I31 I28"/>
  </dataValidations>
  <printOptions horizontalCentered="1" verticalCentered="1"/>
  <pageMargins left="0.39370078740157483" right="0.39370078740157483" top="0.59055118110236227" bottom="0.39370078740157483" header="0.11811023622047245" footer="0.11811023622047245"/>
  <pageSetup paperSize="9" scale="67" orientation="landscape" verticalDpi="400" r:id="rId1"/>
  <headerFooter alignWithMargins="0">
    <oddHeader>&amp;RＴＭ２１５９６&amp;G　　(4/8)</oddHeader>
    <oddFooter>&amp;R&amp;"ＭＳ Ｐゴシック,太字"&amp;12&amp;G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F1:BQ138"/>
  <sheetViews>
    <sheetView showZeros="0" view="pageBreakPreview" zoomScaleNormal="60" zoomScaleSheetLayoutView="100" zoomScalePageLayoutView="40" workbookViewId="0">
      <selection activeCell="B4" sqref="B4:J4"/>
    </sheetView>
  </sheetViews>
  <sheetFormatPr defaultRowHeight="14.25" x14ac:dyDescent="0.15"/>
  <cols>
    <col min="1" max="5" width="9" style="50"/>
    <col min="6" max="6" width="3.625" style="50" customWidth="1"/>
    <col min="7" max="7" width="1.375" style="50" customWidth="1"/>
    <col min="8" max="8" width="8.625" style="50" customWidth="1"/>
    <col min="9" max="9" width="6.875" style="50" customWidth="1"/>
    <col min="10" max="10" width="1" style="50" customWidth="1"/>
    <col min="11" max="11" width="9.75" style="50" customWidth="1"/>
    <col min="12" max="12" width="17.5" style="50" customWidth="1"/>
    <col min="13" max="13" width="7.75" style="50" customWidth="1"/>
    <col min="14" max="14" width="10.5" style="50" customWidth="1"/>
    <col min="15" max="15" width="8.625" style="50" customWidth="1"/>
    <col min="16" max="16" width="6.625" style="50" customWidth="1"/>
    <col min="17" max="17" width="8.625" style="50" customWidth="1"/>
    <col min="18" max="18" width="10.625" style="50" customWidth="1"/>
    <col min="19" max="19" width="8.625" style="50" customWidth="1"/>
    <col min="20" max="20" width="10.625" style="50" customWidth="1"/>
    <col min="21" max="21" width="14.625" style="50" customWidth="1"/>
    <col min="22" max="22" width="6.625" style="50" customWidth="1"/>
    <col min="23" max="23" width="8.625" style="50" customWidth="1"/>
    <col min="24" max="24" width="10.625" style="50" customWidth="1"/>
    <col min="25" max="25" width="8.625" style="50" customWidth="1"/>
    <col min="26" max="26" width="10.625" style="50" customWidth="1"/>
    <col min="27" max="27" width="1.5" style="50" customWidth="1"/>
    <col min="28" max="28" width="13.625" style="50" customWidth="1"/>
    <col min="29" max="36" width="9" style="50" customWidth="1"/>
    <col min="37" max="37" width="15" style="50" customWidth="1"/>
    <col min="38" max="39" width="9.375" style="50" customWidth="1"/>
    <col min="40" max="40" width="9.625" style="50" customWidth="1"/>
    <col min="41" max="42" width="10.5" style="50" bestFit="1" customWidth="1"/>
    <col min="43" max="43" width="11.25" style="50" customWidth="1"/>
    <col min="44" max="44" width="9.5" style="50" customWidth="1"/>
    <col min="45" max="45" width="15.625" style="50" customWidth="1"/>
    <col min="46" max="48" width="10.5" style="50" bestFit="1" customWidth="1"/>
    <col min="49" max="50" width="10.375" style="50" bestFit="1" customWidth="1"/>
    <col min="51" max="51" width="10" style="50" customWidth="1"/>
    <col min="52" max="53" width="10.375" style="50" bestFit="1" customWidth="1"/>
    <col min="54" max="54" width="10.375" style="3" bestFit="1" customWidth="1"/>
    <col min="55" max="55" width="15.75" style="50" customWidth="1"/>
    <col min="56" max="57" width="10.375" style="50" bestFit="1" customWidth="1"/>
    <col min="58" max="58" width="12" style="50" customWidth="1"/>
    <col min="59" max="59" width="14.75" style="50" customWidth="1"/>
    <col min="60" max="63" width="10.375" style="50" bestFit="1" customWidth="1"/>
    <col min="64" max="64" width="20.25" style="50" customWidth="1"/>
    <col min="65" max="65" width="10.375" style="50" bestFit="1" customWidth="1"/>
    <col min="66" max="66" width="23.375" style="50" customWidth="1"/>
    <col min="67" max="68" width="10.375" style="50" bestFit="1" customWidth="1"/>
    <col min="69" max="69" width="9.5" style="50" bestFit="1" customWidth="1"/>
    <col min="70" max="16384" width="9" style="50"/>
  </cols>
  <sheetData>
    <row r="1" spans="6:69" ht="25.5" customHeight="1" x14ac:dyDescent="0.15">
      <c r="F1" s="412" t="s">
        <v>218</v>
      </c>
      <c r="G1" s="413"/>
      <c r="H1" s="413"/>
      <c r="I1" s="413"/>
      <c r="J1" s="413"/>
      <c r="K1" s="413"/>
      <c r="L1" s="413"/>
      <c r="M1" s="414"/>
      <c r="N1" s="1"/>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row>
    <row r="2" spans="6:69" ht="12.75" customHeight="1" x14ac:dyDescent="0.15">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row>
    <row r="3" spans="6:69" ht="20.100000000000001" customHeight="1" x14ac:dyDescent="0.15">
      <c r="F3" s="409" t="s">
        <v>0</v>
      </c>
      <c r="G3" s="415"/>
      <c r="H3" s="416"/>
      <c r="I3" s="417">
        <f>◆入力◆④「1個放水」計算!I3</f>
        <v>0</v>
      </c>
      <c r="J3" s="418"/>
      <c r="K3" s="418"/>
      <c r="L3" s="419"/>
      <c r="M3" s="40"/>
      <c r="N3" s="361" t="s">
        <v>1</v>
      </c>
      <c r="O3" s="420" t="s">
        <v>241</v>
      </c>
      <c r="P3" s="421"/>
      <c r="Q3" s="422"/>
      <c r="R3" s="363"/>
      <c r="S3" s="361" t="s">
        <v>2</v>
      </c>
      <c r="T3" s="410">
        <f ca="1">TODAY()</f>
        <v>42326</v>
      </c>
      <c r="U3" s="427"/>
      <c r="V3" s="40"/>
      <c r="W3" s="361" t="s">
        <v>44</v>
      </c>
      <c r="X3" s="417" t="str">
        <f>◆入力◆④「1個放水」計算!X3</f>
        <v/>
      </c>
      <c r="Y3" s="418"/>
      <c r="Z3" s="419"/>
      <c r="AA3" s="54"/>
      <c r="AB3" s="54"/>
      <c r="AC3" s="54"/>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row>
    <row r="4" spans="6:69" ht="12" customHeight="1" x14ac:dyDescent="0.15">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row>
    <row r="5" spans="6:69" ht="20.100000000000001" customHeight="1" x14ac:dyDescent="0.15">
      <c r="F5" s="409" t="s">
        <v>83</v>
      </c>
      <c r="G5" s="415"/>
      <c r="H5" s="416"/>
      <c r="I5" s="163">
        <f>VLOOKUP(X3,AL11:AN15,3,0)</f>
        <v>0</v>
      </c>
      <c r="J5" s="60"/>
      <c r="K5" s="61" t="s">
        <v>81</v>
      </c>
      <c r="L5" s="131" t="str">
        <f>◆入力◆④「1個放水」計算!L5</f>
        <v>水道用硬質ポリ塩化ビニル管</v>
      </c>
      <c r="M5" s="40"/>
      <c r="N5" s="40"/>
      <c r="O5" s="40"/>
      <c r="P5" s="40"/>
      <c r="Q5" s="40"/>
      <c r="R5" s="40"/>
      <c r="S5" s="40"/>
      <c r="T5" s="40"/>
      <c r="U5" s="40"/>
      <c r="V5" s="40"/>
      <c r="W5" s="40"/>
      <c r="X5" s="40"/>
      <c r="Y5" s="40"/>
      <c r="Z5" s="40"/>
      <c r="AA5" s="40"/>
      <c r="AB5" s="40"/>
      <c r="AC5" s="40"/>
      <c r="AD5" s="62"/>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row>
    <row r="6" spans="6:69" ht="14.25" customHeight="1" x14ac:dyDescent="0.15">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row>
    <row r="7" spans="6:69" ht="15" thickBot="1" x14ac:dyDescent="0.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row>
    <row r="8" spans="6:69" ht="20.100000000000001" customHeight="1" thickBot="1" x14ac:dyDescent="0.2">
      <c r="F8" s="234"/>
      <c r="G8" s="40"/>
      <c r="H8" s="64" t="s">
        <v>45</v>
      </c>
      <c r="I8" s="53"/>
      <c r="J8" s="40"/>
      <c r="K8" s="361" t="s">
        <v>7</v>
      </c>
      <c r="L8" s="65" t="s">
        <v>8</v>
      </c>
      <c r="M8" s="66" t="s">
        <v>9</v>
      </c>
      <c r="N8" s="66"/>
      <c r="O8" s="64" t="s">
        <v>10</v>
      </c>
      <c r="P8" s="66"/>
      <c r="Q8" s="66"/>
      <c r="R8" s="66"/>
      <c r="S8" s="66"/>
      <c r="T8" s="66"/>
      <c r="U8" s="64" t="s">
        <v>11</v>
      </c>
      <c r="V8" s="66"/>
      <c r="W8" s="66"/>
      <c r="X8" s="66"/>
      <c r="Y8" s="66"/>
      <c r="Z8" s="53"/>
      <c r="AA8" s="40"/>
      <c r="AB8" s="404" t="s">
        <v>55</v>
      </c>
      <c r="AC8" s="67"/>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row>
    <row r="9" spans="6:69" ht="20.100000000000001" customHeight="1" x14ac:dyDescent="0.15">
      <c r="F9" s="235"/>
      <c r="G9" s="40"/>
      <c r="H9" s="68" t="s">
        <v>46</v>
      </c>
      <c r="I9" s="361" t="s">
        <v>47</v>
      </c>
      <c r="J9" s="40"/>
      <c r="K9" s="361" t="s">
        <v>36</v>
      </c>
      <c r="L9" s="65" t="s">
        <v>12</v>
      </c>
      <c r="M9" s="360" t="s">
        <v>48</v>
      </c>
      <c r="N9" s="69" t="s">
        <v>13</v>
      </c>
      <c r="O9" s="360" t="s">
        <v>14</v>
      </c>
      <c r="P9" s="361" t="s">
        <v>15</v>
      </c>
      <c r="Q9" s="360" t="s">
        <v>16</v>
      </c>
      <c r="R9" s="361" t="s">
        <v>17</v>
      </c>
      <c r="S9" s="360" t="s">
        <v>18</v>
      </c>
      <c r="T9" s="69" t="s">
        <v>13</v>
      </c>
      <c r="U9" s="360" t="s">
        <v>19</v>
      </c>
      <c r="V9" s="361" t="s">
        <v>15</v>
      </c>
      <c r="W9" s="70" t="s">
        <v>16</v>
      </c>
      <c r="X9" s="361" t="s">
        <v>17</v>
      </c>
      <c r="Y9" s="360" t="s">
        <v>18</v>
      </c>
      <c r="Z9" s="69" t="s">
        <v>13</v>
      </c>
      <c r="AA9" s="363"/>
      <c r="AB9" s="405"/>
      <c r="AC9" s="71" t="s">
        <v>73</v>
      </c>
      <c r="AD9" s="72" t="s">
        <v>40</v>
      </c>
      <c r="AE9" s="72" t="s">
        <v>56</v>
      </c>
      <c r="AF9" s="72" t="s">
        <v>39</v>
      </c>
      <c r="AG9" s="72" t="s">
        <v>61</v>
      </c>
      <c r="AH9" s="72" t="s">
        <v>92</v>
      </c>
      <c r="AI9" s="72" t="s">
        <v>93</v>
      </c>
      <c r="AJ9" s="72"/>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row>
    <row r="10" spans="6:69" x14ac:dyDescent="0.15">
      <c r="F10" s="235" t="s">
        <v>21</v>
      </c>
      <c r="G10" s="40"/>
      <c r="H10" s="132"/>
      <c r="I10" s="133">
        <f>IF($F$55=0,0,◆入力◆④「1個放水」計算!I10)</f>
        <v>0</v>
      </c>
      <c r="J10" s="121"/>
      <c r="K10" s="134"/>
      <c r="L10" s="74"/>
      <c r="M10" s="135"/>
      <c r="N10" s="76"/>
      <c r="O10" s="77">
        <f>IF(I11=0,0,"E９０°")</f>
        <v>0</v>
      </c>
      <c r="P10" s="136">
        <f>IF($F$55=0,0,◆入力◆④「1個放水」計算!P10)</f>
        <v>0</v>
      </c>
      <c r="Q10" s="78">
        <f>IF(I11=0,0,IF(I10="SGP-VB",LOOKUP(I11,◆入力◆④「1個放水」計算!$AL$4:$AX$4,◆入力◆④「1個放水」計算!$AL$6:$AX$6),IF(I10="SGP-PB",LOOKUP(I11,◆入力◆④「1個放水」計算!$AL$15:$AX$15,◆入力◆④「1個放水」計算!$AL$17:$AX$17),IF(I10="HIVP",LOOKUP(I11,◆入力◆④「1個放水」計算!$AL$26:$AX$26,◆入力◆④「1個放水」計算!$AL$28:$AX$28),IF(OR(I10="SGP",I10="フレキ"),LOOKUP(I11,◆入力◆④「1個放水」計算!$AL$37:$AX$37,◆入力◆④「1個放水」計算!$AL$39:$AX$39),IF(I10="SUS",LOOKUP(I11,◆入力◆④「1個放水」計算!$AL$48:$AX$48,◆入力◆④「1個放水」計算!$AL$50:$AX$50),IF(OR(I10="PE",I10="PP"),LOOKUP(I11,◆入力◆④「1個放水」計算!$AL$59:$AX$59,◆入力◆④「1個放水」計算!$AL$61:$AX$61))))))))</f>
        <v>0</v>
      </c>
      <c r="R10" s="79">
        <f t="shared" ref="R10:R42" si="0">P10*Q10</f>
        <v>0</v>
      </c>
      <c r="S10" s="80"/>
      <c r="T10" s="81">
        <v>0</v>
      </c>
      <c r="U10" s="137">
        <f>IF($F$55=0,0,◆入力◆④「1個放水」計算!U10)</f>
        <v>0</v>
      </c>
      <c r="V10" s="138">
        <f>IF($F$55=0,0,◆入力◆④「1個放水」計算!V10)</f>
        <v>0</v>
      </c>
      <c r="W10" s="79">
        <f>IF($U10="Yスト",AC10,IF($I10="sgp-vb",AD10,IF($I10="sgp-pb",AE10,IF($I10="hivp",AF10,IF(OR($I10="sgp",$I10="フレキ"),AG10,IF($I10="sus",AH10,IF(OR($I10="PE",$I10="PP"),AI10,0)))))))</f>
        <v>0</v>
      </c>
      <c r="X10" s="82">
        <f t="shared" ref="X10:X42" si="1">V10*W10</f>
        <v>0</v>
      </c>
      <c r="Y10" s="83"/>
      <c r="Z10" s="84">
        <f>IF(AND($U10="電動弁",$V10=1),LOOKUP($K11,$AL$76:$BQ$76,$AL$77:$BQ$77),IF(AND($U10="逆流防止装置E",$V10=1),LOOKUP($I11,$AN$105:$AQ$105,$AN106:$AQ106),IF(AND($U10="逆流防止装置K",$V10=1),LOOKUP($I11,$AN$105:$AQ$105,$AN107:$AQ107),IF(AND($U10="逆流防止装置T",$V10=1),LOOKUP($I11,$AN$105:$AQ$105,$AN108:$AQ108),0))))</f>
        <v>0</v>
      </c>
      <c r="AA10" s="40"/>
      <c r="AB10" s="85"/>
      <c r="AC10" s="86">
        <f>IF(U10="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0" s="86">
        <f>IF($U10="仕切弁",LOOKUP($I11,◆入力◆④「1個放水」計算!$AL$4:$AX$4,◆入力◆④「1個放水」計算!$AL$9:$AX$9),IF($U10="逆止弁",LOOKUP($I11,◆入力◆④「1個放水」計算!$AL$4:$AX$4,◆入力◆④「1個放水」計算!$AL$10:$AX$10),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E10" s="86">
        <f>IF($U10="仕切弁",LOOKUP($I11,◆入力◆④「1個放水」計算!$AL$15:$AX$15,◆入力◆④「1個放水」計算!$AL$20:$AX$20),IF($U10="逆止弁",LOOKUP($I11,◆入力◆④「1個放水」計算!$AL$15:$AX$15,◆入力◆④「1個放水」計算!$AL$21:$AX$21),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F10" s="86">
        <f>IF($U10="仕切弁",LOOKUP($I11,◆入力◆④「1個放水」計算!$AL$26:$AX$26,◆入力◆④「1個放水」計算!$AL$31:$AX$31),IF($U10="逆止弁",LOOKUP($I11,◆入力◆④「1個放水」計算!$AL$26:$AX$26,◆入力◆④「1個放水」計算!$AL$32:$AX$32),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G10" s="86">
        <f>IF($U10="仕切弁",LOOKUP($I11,◆入力◆④「1個放水」計算!$AL$37:$AX$37,◆入力◆④「1個放水」計算!$AL$42:$AX$42),IF($U10="逆止弁",LOOKUP($I11,◆入力◆④「1個放水」計算!$AL$37:$AX$37,◆入力◆④「1個放水」計算!$AL$43:$AX$43),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H10" s="86">
        <f>IF($U10="仕切弁",LOOKUP($I11,◆入力◆④「1個放水」計算!$AL$48:$AX$48,◆入力◆④「1個放水」計算!$AL$53:$AX$53),IF($U10="逆止弁",LOOKUP($I11,◆入力◆④「1個放水」計算!$AL$48:$AX$48,◆入力◆④「1個放水」計算!$AL$54:$AX$54),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I10" s="86">
        <f>IF($U10="仕切弁",LOOKUP($I11,◆入力◆④「1個放水」計算!$AL$59:$AX$59,◆入力◆④「1個放水」計算!$AL$65:$AX$65),IF($U10="逆止弁",LOOKUP($I11,◆入力◆④「1個放水」計算!$AL$59:$AX$59,◆入力◆④「1個放水」計算!$AL$66:$AX$66),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J10" s="115"/>
      <c r="AK10" s="40"/>
      <c r="AL10" s="49" t="s">
        <v>125</v>
      </c>
      <c r="AM10" s="49" t="s">
        <v>126</v>
      </c>
      <c r="AN10" s="49" t="s">
        <v>127</v>
      </c>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row>
    <row r="11" spans="6:69" ht="14.25" customHeight="1" x14ac:dyDescent="0.15">
      <c r="F11" s="235"/>
      <c r="G11" s="40"/>
      <c r="H11" s="149">
        <f>IF($F$55=0,0,◆入力◆④「1個放水」計算!H11)</f>
        <v>0</v>
      </c>
      <c r="I11" s="140">
        <f>IF($F$55=0,0,◆入力◆④「1個放水」計算!I11)</f>
        <v>0</v>
      </c>
      <c r="J11" s="121"/>
      <c r="K11" s="141">
        <f>IF(I11=0,0,$I$5)</f>
        <v>0</v>
      </c>
      <c r="L11" s="74">
        <f>IF(I11=0,0,IF(I11&gt;=65,K11^1.85*0.012/I12^4.87,ROUNDUP((0.0126+(0.01739-(0.1087*I12/100))/SQRT(4*K11/(60000*PI()*(I12/100)^2)))*(1/(I12/100))*((4*K11/(60000*PI()*(I12/100)^2))^2/(2*9.8)),4)))</f>
        <v>0</v>
      </c>
      <c r="M11" s="142">
        <f>IF($F$55=0,0,◆入力◆④「1個放水」計算!M11)</f>
        <v>0</v>
      </c>
      <c r="N11" s="84">
        <f>ROUNDUP(L11*M11,2)</f>
        <v>0</v>
      </c>
      <c r="O11" s="87">
        <f>IF(I11=0,0,"Ｔ直")</f>
        <v>0</v>
      </c>
      <c r="P11" s="138">
        <f>IF($F$55=0,0,◆入力◆④「1個放水」計算!P11)</f>
        <v>0</v>
      </c>
      <c r="Q11" s="88">
        <f>IF(I11=0,0,IF(I10="SGP-VB",LOOKUP(I11,◆入力◆④「1個放水」計算!$AL$4:$AX$4,◆入力◆④「1個放水」計算!$AL$7:$AX$7),IF(I10="SGP-PB",LOOKUP(I11,◆入力◆④「1個放水」計算!$AL$15:$AX$15,◆入力◆④「1個放水」計算!$AL$18:$AX$18),IF(I10="HIVP",LOOKUP(I11,◆入力◆④「1個放水」計算!$AL$26:$AX$26,◆入力◆④「1個放水」計算!$AL$29:$AX$29),IF(OR(I10="SGP",I10="フレキ"),LOOKUP(I11,◆入力◆④「1個放水」計算!$AL$37:$AX$37,◆入力◆④「1個放水」計算!$AL$40:$AX$40),IF(I10="SUS",LOOKUP(I11,◆入力◆④「1個放水」計算!$AL$48:$AX$48,◆入力◆④「1個放水」計算!$AL$51:$AX$51),IF(OR(I10="PE",I10="PP"),LOOKUP(I11,◆入力◆④「1個放水」計算!$AL$59:$AX$59,◆入力◆④「1個放水」計算!$AL$63:$AX$63))))))))</f>
        <v>0</v>
      </c>
      <c r="R11" s="82">
        <f t="shared" si="0"/>
        <v>0</v>
      </c>
      <c r="S11" s="83">
        <f>R10+R11+R12</f>
        <v>0</v>
      </c>
      <c r="T11" s="84">
        <f>ROUNDUP(L11*S11,2)</f>
        <v>0</v>
      </c>
      <c r="U11" s="143">
        <f>IF($F$55=0,0,◆入力◆④「1個放水」計算!U11)</f>
        <v>0</v>
      </c>
      <c r="V11" s="138">
        <f>IF($F$55=0,0,◆入力◆④「1個放水」計算!V11)</f>
        <v>0</v>
      </c>
      <c r="W11" s="82">
        <f>IF($U11="Yスト",AC11,IF($I10="sgp-vb",AD11,IF($I10="sgp-pb",AE11,IF($I10="hivp",AF11,IF(OR($I10="sgp",$I10="フレキ"),AG11,IF($I10="sus",AH11,IF(OR($I10="PE",$I10="PP"),AI11,0)))))))</f>
        <v>0</v>
      </c>
      <c r="X11" s="82">
        <f t="shared" si="1"/>
        <v>0</v>
      </c>
      <c r="Y11" s="83">
        <f>SUM(X10:X12)</f>
        <v>0</v>
      </c>
      <c r="Z11" s="84">
        <f>IF(AND($U11="電動弁",$V11=1),LOOKUP($K11,$AL$76:$BQ$76,$AL$77:$BQ$77),IF(AND($U11="逆流防止装置E",$V11=1),LOOKUP($I11,$AN$105:$AQ$105,$AN106:$AQ106),IF(AND($U11="逆流防止装置K",$V11=1),LOOKUP($I11,$AN$105:$AQ$105,$AN107:$AQ107),IF(AND($U11="逆流防止装置T",$V11=1),LOOKUP($I11,$AN$105:$AQ$105,$AN108:$AQ108),0))))</f>
        <v>0</v>
      </c>
      <c r="AA11" s="40"/>
      <c r="AB11" s="84">
        <f>T10+N11+T11+Z10+Z11+Z12</f>
        <v>0</v>
      </c>
      <c r="AC11" s="89">
        <f>IF(U11="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1" s="90">
        <f>IF($U11="仕切弁",LOOKUP($I11,◆入力◆④「1個放水」計算!$AL$4:$AX$4,◆入力◆④「1個放水」計算!$AL$9:$AX$9),IF($U11="逆止弁",LOOKUP($I11,◆入力◆④「1個放水」計算!$AL$4:$AX$4,◆入力◆④「1個放水」計算!$AL$10:$AX$10),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E11" s="90">
        <f>IF($U11="仕切弁",LOOKUP($I11,◆入力◆④「1個放水」計算!$AL$15:$AX$15,◆入力◆④「1個放水」計算!$AL$20:$AX$20),IF($U11="逆止弁",LOOKUP($I11,◆入力◆④「1個放水」計算!$AL$15:$AX$15,◆入力◆④「1個放水」計算!$AL$21:$AX$21),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F11" s="90">
        <f>IF($U11="仕切弁",LOOKUP($I11,◆入力◆④「1個放水」計算!$AL$26:$AX$26,◆入力◆④「1個放水」計算!$AL$31:$AX$31),IF($U11="逆止弁",LOOKUP($I11,◆入力◆④「1個放水」計算!$AL$26:$AX$26,◆入力◆④「1個放水」計算!$AL$32:$AX$32),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G11" s="90">
        <f>IF($U11="仕切弁",LOOKUP($I11,◆入力◆④「1個放水」計算!$AL$37:$AX$37,◆入力◆④「1個放水」計算!$AL$42:$AX$42),IF($U11="逆止弁",LOOKUP($I11,◆入力◆④「1個放水」計算!$AL$37:$AX$37,◆入力◆④「1個放水」計算!$AL$43:$AX$43),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H11" s="90">
        <f>IF($U11="仕切弁",LOOKUP($I11,◆入力◆④「1個放水」計算!$AL$48:$AX$48,◆入力◆④「1個放水」計算!$AL$53:$AX$53),IF($U11="逆止弁",LOOKUP($I11,◆入力◆④「1個放水」計算!$AL$48:$AX$48,◆入力◆④「1個放水」計算!$AL$54:$AX$54),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I11" s="90">
        <f>IF($U11="仕切弁",LOOKUP($I11,◆入力◆④「1個放水」計算!$AL$59:$AX$59,◆入力◆④「1個放水」計算!$AL$65:$AX$65),IF($U11="逆止弁",LOOKUP($I11,◆入力◆④「1個放水」計算!$AL$59:$AX$59,◆入力◆④「1個放水」計算!$AL$66:$AX$66),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J11" s="144"/>
      <c r="AK11" s="40"/>
      <c r="AL11" s="20" t="str">
        <f>◆入力◆①配管容量!AM36</f>
        <v/>
      </c>
      <c r="AM11" s="20">
        <f>◆入力◆①配管容量!AN36</f>
        <v>0</v>
      </c>
      <c r="AN11" s="20">
        <f>◆入力◆①配管容量!AO36</f>
        <v>0</v>
      </c>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row>
    <row r="12" spans="6:69" ht="14.25" customHeight="1" x14ac:dyDescent="0.15">
      <c r="F12" s="235"/>
      <c r="G12" s="40"/>
      <c r="H12" s="145"/>
      <c r="I12" s="146" t="b">
        <f>IF(I11="",0,IF(I10="SGP-VB",LOOKUP(I11,◆入力◆④「1個放水」計算!$AL$4:$AX$4,◆入力◆④「1個放水」計算!$AL$5:$AX$5),IF(I10="SGP-PB",LOOKUP(I11,◆入力◆④「1個放水」計算!$AL$15:$AX$15,◆入力◆④「1個放水」計算!$AL$16:$AX$16),IF(I10="HIVP",LOOKUP(I11,◆入力◆④「1個放水」計算!$AL$26:$AX$26,◆入力◆④「1個放水」計算!$AL$27:$AX$27),IF(OR(I10="SGP",I10="フレキ"),LOOKUP(I11,◆入力◆④「1個放水」計算!$AL$37:$AX$37,◆入力◆④「1個放水」計算!$AL$38:$AX$38),IF(I10="SUS",LOOKUP(I11,◆入力◆④「1個放水」計算!$AL$48:$AX$48,◆入力◆④「1個放水」計算!$AL$49:$AX$49),IF(OR(I10="PE",I10="PP"),LOOKUP(I11,◆入力◆④「1個放水」計算!$AL$59:$AX$59,◆入力◆④「1個放水」計算!$AL$60:$AX$60))))))))</f>
        <v>0</v>
      </c>
      <c r="J12" s="121"/>
      <c r="K12" s="134"/>
      <c r="L12" s="74"/>
      <c r="M12" s="142"/>
      <c r="N12" s="76"/>
      <c r="O12" s="87">
        <f>IF(I11=0,0,"Ｔ分")</f>
        <v>0</v>
      </c>
      <c r="P12" s="138">
        <f>IF($F$55=0,0,◆入力◆④「1個放水」計算!P12)</f>
        <v>0</v>
      </c>
      <c r="Q12" s="88">
        <f>IF(I11=0,0,IF(I10="SGP-VB",LOOKUP(I11,◆入力◆④「1個放水」計算!$AL$4:$AX$4,◆入力◆④「1個放水」計算!$AL$8:$AX$8),IF(I10="SGP-PB",LOOKUP(I11,◆入力◆④「1個放水」計算!$AL$15:$AX$15,◆入力◆④「1個放水」計算!$AL$19:$AX$19),IF(I10="HIVP",LOOKUP(I11,◆入力◆④「1個放水」計算!$AL$26:$AX$26,◆入力◆④「1個放水」計算!$AL$30:$AX$30),IF(OR(I10="SGP",I10="フレキ"),LOOKUP(I11,◆入力◆④「1個放水」計算!$AL$37:$AX$37,◆入力◆④「1個放水」計算!$AL$41:$AX$41),IF(I10="SUS",LOOKUP(I11,◆入力◆④「1個放水」計算!$AL$48:$AX$48,◆入力◆④「1個放水」計算!$AL$52:$AX$52),IF(OR(I10="PE",I10="PP"),LOOKUP(I11,◆入力◆④「1個放水」計算!$AL$59:$AX$59,◆入力◆④「1個放水」計算!$AL$64:$AX$64))))))))</f>
        <v>0</v>
      </c>
      <c r="R12" s="82">
        <f t="shared" si="0"/>
        <v>0</v>
      </c>
      <c r="S12" s="83"/>
      <c r="T12" s="84"/>
      <c r="U12" s="147">
        <f>IF($F$55=0,0,◆入力◆④「1個放水」計算!U12)</f>
        <v>0</v>
      </c>
      <c r="V12" s="138">
        <f>IF($F$55=0,0,◆入力◆④「1個放水」計算!V12)</f>
        <v>0</v>
      </c>
      <c r="W12" s="82">
        <f>IF($U12="Yスト",AC12,IF($I10="sgp-vb",AD12,IF($I10="sgp-pb",AE12,IF($I10="hivp",AF12,IF(OR($I10="sgp",$I10="フレキ"),AG12,IF($I10="sus",AH12,IF(OR($I10="PE",$I10="PP"),AI12,0)))))))</f>
        <v>0</v>
      </c>
      <c r="X12" s="82">
        <f t="shared" si="1"/>
        <v>0</v>
      </c>
      <c r="Y12" s="83"/>
      <c r="Z12" s="92">
        <f>ROUNDUP(L11*Y11,2)</f>
        <v>0</v>
      </c>
      <c r="AA12" s="40"/>
      <c r="AB12" s="93"/>
      <c r="AC12" s="90">
        <f>IF(U12="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2" s="90">
        <f>IF($U12="仕切弁",LOOKUP($I11,◆入力◆④「1個放水」計算!$AL$4:$AX$4,◆入力◆④「1個放水」計算!$AL$9:$AX$9),IF($U12="逆止弁",LOOKUP($I11,◆入力◆④「1個放水」計算!$AL$4:$AX$4,◆入力◆④「1個放水」計算!$AL$10:$AX$10),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E12" s="90">
        <f>IF($U12="仕切弁",LOOKUP($I11,◆入力◆④「1個放水」計算!$AL$15:$AX$15,◆入力◆④「1個放水」計算!$AL$20:$AX$20),IF($U12="逆止弁",LOOKUP($I11,◆入力◆④「1個放水」計算!$AL$15:$AX$15,◆入力◆④「1個放水」計算!$AL$21:$AX$21),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F12" s="90">
        <f>IF($U12="仕切弁",LOOKUP($I11,◆入力◆④「1個放水」計算!$AL$26:$AX$26,◆入力◆④「1個放水」計算!$AL$31:$AX$31),IF($U12="逆止弁",LOOKUP($I11,◆入力◆④「1個放水」計算!$AL$26:$AX$26,◆入力◆④「1個放水」計算!$AL$32:$AX$32),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G12" s="90">
        <f>IF($U12="仕切弁",LOOKUP($I11,◆入力◆④「1個放水」計算!$AL$37:$AX$37,◆入力◆④「1個放水」計算!$AL$42:$AX$42),IF($U12="逆止弁",LOOKUP($I11,◆入力◆④「1個放水」計算!$AL$37:$AX$37,◆入力◆④「1個放水」計算!$AL$43:$AX$43),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H12" s="90">
        <f>IF($U12="仕切弁",LOOKUP($I11,◆入力◆④「1個放水」計算!$AL$48:$AX$48,◆入力◆④「1個放水」計算!$AL$53:$AX$53),IF($U12="逆止弁",LOOKUP($I11,◆入力◆④「1個放水」計算!$AL$48:$AX$48,◆入力◆④「1個放水」計算!$AL$54:$AX$54),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I12" s="90">
        <f>IF($U12="仕切弁",LOOKUP($I11,◆入力◆④「1個放水」計算!$AL$59:$AX$59,◆入力◆④「1個放水」計算!$AL$65:$AX$65),IF($U12="逆止弁",LOOKUP($I11,◆入力◆④「1個放水」計算!$AL$59:$AX$59,◆入力◆④「1個放水」計算!$AL$66:$AX$66),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J12" s="144"/>
      <c r="AK12" s="40"/>
      <c r="AL12" s="20"/>
      <c r="AM12" s="20">
        <f>◆入力◆①配管容量!AN37</f>
        <v>0</v>
      </c>
      <c r="AN12" s="20">
        <f>◆入力◆①配管容量!AO37</f>
        <v>0</v>
      </c>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row>
    <row r="13" spans="6:69" x14ac:dyDescent="0.15">
      <c r="F13" s="235" t="s">
        <v>22</v>
      </c>
      <c r="G13" s="40"/>
      <c r="H13" s="132"/>
      <c r="I13" s="133">
        <f>IF($F$55=0,0,◆入力◆④「1個放水」計算!I13)</f>
        <v>0</v>
      </c>
      <c r="J13" s="121"/>
      <c r="K13" s="148"/>
      <c r="L13" s="95"/>
      <c r="M13" s="135"/>
      <c r="N13" s="85"/>
      <c r="O13" s="77">
        <f>IF(I14=0,0,"E９０°")</f>
        <v>0</v>
      </c>
      <c r="P13" s="136">
        <f>IF($F$55=0,0,◆入力◆④「1個放水」計算!P13)</f>
        <v>0</v>
      </c>
      <c r="Q13" s="78">
        <f>IF(I14=0,0,IF(I13="SGP-VB",LOOKUP(I14,◆入力◆④「1個放水」計算!$AL$4:$AX$4,◆入力◆④「1個放水」計算!$AL$6:$AX$6),IF(I13="SGP-PB",LOOKUP(I14,◆入力◆④「1個放水」計算!$AL$15:$AX$15,◆入力◆④「1個放水」計算!$AL$17:$AX$17),IF(I13="HIVP",LOOKUP(I14,◆入力◆④「1個放水」計算!$AL$26:$AX$26,◆入力◆④「1個放水」計算!$AL$28:$AX$28),IF(OR(I13="SGP",I13="フレキ"),LOOKUP(I14,◆入力◆④「1個放水」計算!$AL$37:$AX$37,◆入力◆④「1個放水」計算!$AL$39:$AX$39),IF(I13="SUS",LOOKUP(I14,◆入力◆④「1個放水」計算!$AL$48:$AX$48,◆入力◆④「1個放水」計算!$AL$50:$AX$50),IF(OR(I13="PE",I13="PP"),LOOKUP(I14,◆入力◆④「1個放水」計算!$AL$59:$AX$59,◆入力◆④「1個放水」計算!$AL$61:$AX$61))))))))</f>
        <v>0</v>
      </c>
      <c r="R13" s="79">
        <f t="shared" si="0"/>
        <v>0</v>
      </c>
      <c r="S13" s="80"/>
      <c r="T13" s="81">
        <v>0</v>
      </c>
      <c r="U13" s="137">
        <f>IF($F$55=0,0,◆入力◆④「1個放水」計算!U13)</f>
        <v>0</v>
      </c>
      <c r="V13" s="136">
        <f>IF($F$55=0,0,◆入力◆④「1個放水」計算!V13)</f>
        <v>0</v>
      </c>
      <c r="W13" s="79">
        <f>IF($U13="Yスト",AC13,IF($I13="sgp-vb",AD13,IF($I13="sgp-pb",AE13,IF($I13="hivp",AF13,IF(OR($I13="sgp",$I13="フレキ"),AG13,IF($I13="sus",AH13,IF(OR($I13="PE",$I13="PP"),AI13,0)))))))</f>
        <v>0</v>
      </c>
      <c r="X13" s="79">
        <f t="shared" si="1"/>
        <v>0</v>
      </c>
      <c r="Y13" s="80"/>
      <c r="Z13" s="84">
        <f t="shared" ref="Z13" si="2">IF(AND($U13="電動弁",$V13=1),LOOKUP($K14,$AL$76:$BQ$76,$AL$77:$BQ$77),IF(AND($U13="逆流防止装置E",$V13=1),LOOKUP($I14,$AN$105:$AQ$105,$AN109:$AQ109),IF(AND($U13="逆流防止装置K",$V13=1),LOOKUP($I14,$AN$105:$AQ$105,$AN110:$AQ110),IF(AND($U13="逆流防止装置T",$V13=1),LOOKUP($I14,$AN$105:$AQ$105,$AN111:$AQ111),0))))</f>
        <v>0</v>
      </c>
      <c r="AA13" s="40"/>
      <c r="AB13" s="76"/>
      <c r="AC13" s="86">
        <f>IF(U13="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3" s="86">
        <f>IF($U13="仕切弁",LOOKUP($I14,◆入力◆④「1個放水」計算!$AL$4:$AX$4,◆入力◆④「1個放水」計算!$AL$9:$AX$9),IF($U13="逆止弁",LOOKUP($I14,◆入力◆④「1個放水」計算!$AL$4:$AX$4,◆入力◆④「1個放水」計算!$AL$10:$AX$10),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E13" s="86">
        <f>IF($U13="仕切弁",LOOKUP($I14,◆入力◆④「1個放水」計算!$AL$15:$AX$15,◆入力◆④「1個放水」計算!$AL$20:$AX$20),IF($U13="逆止弁",LOOKUP($I14,◆入力◆④「1個放水」計算!$AL$15:$AX$15,◆入力◆④「1個放水」計算!$AL$21:$AX$21),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F13" s="86">
        <f>IF($U13="仕切弁",LOOKUP($I14,◆入力◆④「1個放水」計算!$AL$26:$AX$26,◆入力◆④「1個放水」計算!$AL$31:$AX$31),IF($U13="逆止弁",LOOKUP($I14,◆入力◆④「1個放水」計算!$AL$26:$AX$26,◆入力◆④「1個放水」計算!$AL$32:$AX$32),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G13" s="86">
        <f>IF($U13="仕切弁",LOOKUP($I14,◆入力◆④「1個放水」計算!$AL$37:$AX$37,◆入力◆④「1個放水」計算!$AL$42:$AX$42),IF($U13="逆止弁",LOOKUP($I14,◆入力◆④「1個放水」計算!$AL$37:$AX$37,◆入力◆④「1個放水」計算!$AL$43:$AX$43),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H13" s="86">
        <f>IF($U13="仕切弁",LOOKUP($I14,◆入力◆④「1個放水」計算!$AL$48:$AX$48,◆入力◆④「1個放水」計算!$AL$53:$AX$53),IF($U13="逆止弁",LOOKUP($I14,◆入力◆④「1個放水」計算!$AL$48:$AX$48,◆入力◆④「1個放水」計算!$AL$54:$AX$54),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I13" s="86">
        <f>IF($U13="仕切弁",LOOKUP($I14,◆入力◆④「1個放水」計算!$AL$59:$AX$59,◆入力◆④「1個放水」計算!$AL$65:$AX$65),IF($U13="逆止弁",LOOKUP($I14,◆入力◆④「1個放水」計算!$AL$59:$AX$59,◆入力◆④「1個放水」計算!$AL$66:$AX$66),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J13" s="144"/>
      <c r="AK13" s="40"/>
      <c r="AL13" s="20"/>
      <c r="AM13" s="20">
        <f>◆入力◆①配管容量!AN38</f>
        <v>0</v>
      </c>
      <c r="AN13" s="20">
        <f>◆入力◆①配管容量!AO38</f>
        <v>0</v>
      </c>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row>
    <row r="14" spans="6:69" x14ac:dyDescent="0.15">
      <c r="F14" s="235"/>
      <c r="G14" s="40"/>
      <c r="H14" s="149">
        <f>IF($F$55=0,0,◆入力◆④「1個放水」計算!H14)</f>
        <v>0</v>
      </c>
      <c r="I14" s="140">
        <f>IF($F$55=0,0,◆入力◆④「1個放水」計算!I14)</f>
        <v>0</v>
      </c>
      <c r="J14" s="121"/>
      <c r="K14" s="134">
        <f>IF(I14=0,0,K11)</f>
        <v>0</v>
      </c>
      <c r="L14" s="74">
        <f>IF(I14=0,0,IF(I14&gt;=65,K14^1.85*0.012/I15^4.87,ROUNDUP((0.0126+(0.01739-(0.1087*I15/100))/SQRT(4*K14/(60000*PI()*(I15/100)^2)))*(1/(I15/100))*((4*K14/(60000*PI()*(I15/100)^2))^2/(2*9.8)),4)))</f>
        <v>0</v>
      </c>
      <c r="M14" s="142">
        <f>IF($F$55=0,0,◆入力◆④「1個放水」計算!M14)</f>
        <v>0</v>
      </c>
      <c r="N14" s="84">
        <f>ROUNDUP(L14*M14,2)</f>
        <v>0</v>
      </c>
      <c r="O14" s="87">
        <f>IF(I14=0,0,"Ｔ直")</f>
        <v>0</v>
      </c>
      <c r="P14" s="138">
        <f>IF($F$55=0,0,◆入力◆④「1個放水」計算!P14)</f>
        <v>0</v>
      </c>
      <c r="Q14" s="88">
        <f>IF(I14=0,0,IF(I13="SGP-VB",LOOKUP(I14,◆入力◆④「1個放水」計算!$AL$4:$AX$4,◆入力◆④「1個放水」計算!$AL$7:$AX$7),IF(I13="SGP-PB",LOOKUP(I14,◆入力◆④「1個放水」計算!$AL$15:$AX$15,◆入力◆④「1個放水」計算!$AL$18:$AX$18),IF(I13="HIVP",LOOKUP(I14,◆入力◆④「1個放水」計算!$AL$26:$AX$26,◆入力◆④「1個放水」計算!$AL$29:$AX$29),IF(OR(I13="SGP",I13="フレキ"),LOOKUP(I14,◆入力◆④「1個放水」計算!$AL$37:$AX$37,◆入力◆④「1個放水」計算!$AL$40:$AX$40),IF(I13="SUS",LOOKUP(I14,◆入力◆④「1個放水」計算!$AL$48:$AX$48,◆入力◆④「1個放水」計算!$AL$51:$AX$51),IF(OR(I13="PE",I13="PP"),LOOKUP(I14,◆入力◆④「1個放水」計算!$AL$59:$AX$59,◆入力◆④「1個放水」計算!$AL$63:$AX$63))))))))</f>
        <v>0</v>
      </c>
      <c r="R14" s="82">
        <f t="shared" si="0"/>
        <v>0</v>
      </c>
      <c r="S14" s="83">
        <f>R13+R14+R15</f>
        <v>0</v>
      </c>
      <c r="T14" s="84">
        <f>ROUNDUP(L14*S14,2)</f>
        <v>0</v>
      </c>
      <c r="U14" s="143">
        <f>IF($F$55=0,0,◆入力◆④「1個放水」計算!U14)</f>
        <v>0</v>
      </c>
      <c r="V14" s="138">
        <f>IF($F$55=0,0,◆入力◆④「1個放水」計算!V14)</f>
        <v>0</v>
      </c>
      <c r="W14" s="82">
        <f>IF($U14="Yスト",AC14,IF($I13="sgp-vb",AD14,IF($I13="sgp-pb",AE14,IF($I13="hivp",AF14,IF(OR($I13="sgp",$I13="フレキ"),AG14,IF($I13="sus",AH14,IF(OR($I13="PE",$I13="PP"),AI14,0)))))))</f>
        <v>0</v>
      </c>
      <c r="X14" s="82">
        <f t="shared" si="1"/>
        <v>0</v>
      </c>
      <c r="Y14" s="83">
        <f>SUM(X13:X15)</f>
        <v>0</v>
      </c>
      <c r="Z14" s="84">
        <f t="shared" ref="Z14" si="3">IF(AND($U14="電動弁",$V14=1),LOOKUP($K14,$AL$76:$BQ$76,$AL$77:$BQ$77),IF(AND($U14="逆流防止装置E",$V14=1),LOOKUP($I14,$AN$105:$AQ$105,$AN109:$AQ109),IF(AND($U14="逆流防止装置K",$V14=1),LOOKUP($I14,$AN$105:$AQ$105,$AN110:$AQ110),IF(AND($U14="逆流防止装置T",$V14=1),LOOKUP($I14,$AN$105:$AQ$105,$AN111:$AQ111),0))))</f>
        <v>0</v>
      </c>
      <c r="AA14" s="40"/>
      <c r="AB14" s="84">
        <f>N14+T14+Z13+Z14+Z15</f>
        <v>0</v>
      </c>
      <c r="AC14" s="89">
        <f>IF(U14="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4" s="90">
        <f>IF($U14="仕切弁",LOOKUP($I14,◆入力◆④「1個放水」計算!$AL$4:$AX$4,◆入力◆④「1個放水」計算!$AL$9:$AX$9),IF($U14="逆止弁",LOOKUP($I14,◆入力◆④「1個放水」計算!$AL$4:$AX$4,◆入力◆④「1個放水」計算!$AL$10:$AX$10),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E14" s="90">
        <f>IF($U14="仕切弁",LOOKUP($I14,◆入力◆④「1個放水」計算!$AL$15:$AX$15,◆入力◆④「1個放水」計算!$AL$20:$AX$20),IF($U14="逆止弁",LOOKUP($I14,◆入力◆④「1個放水」計算!$AL$15:$AX$15,◆入力◆④「1個放水」計算!$AL$21:$AX$21),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F14" s="90">
        <f>IF($U14="仕切弁",LOOKUP($I14,◆入力◆④「1個放水」計算!$AL$26:$AX$26,◆入力◆④「1個放水」計算!$AL$31:$AX$31),IF($U14="逆止弁",LOOKUP($I14,◆入力◆④「1個放水」計算!$AL$26:$AX$26,◆入力◆④「1個放水」計算!$AL$32:$AX$32),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G14" s="90">
        <f>IF($U14="仕切弁",LOOKUP($I14,◆入力◆④「1個放水」計算!$AL$37:$AX$37,◆入力◆④「1個放水」計算!$AL$42:$AX$42),IF($U14="逆止弁",LOOKUP($I14,◆入力◆④「1個放水」計算!$AL$37:$AX$37,◆入力◆④「1個放水」計算!$AL$43:$AX$43),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H14" s="90">
        <f>IF($U14="仕切弁",LOOKUP($I14,◆入力◆④「1個放水」計算!$AL$48:$AX$48,◆入力◆④「1個放水」計算!$AL$53:$AX$53),IF($U14="逆止弁",LOOKUP($I14,◆入力◆④「1個放水」計算!$AL$48:$AX$48,◆入力◆④「1個放水」計算!$AL$54:$AX$54),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I14" s="90">
        <f>IF($U14="仕切弁",LOOKUP($I14,◆入力◆④「1個放水」計算!$AL$59:$AX$59,◆入力◆④「1個放水」計算!$AL$65:$AX$65),IF($U14="逆止弁",LOOKUP($I14,◆入力◆④「1個放水」計算!$AL$59:$AX$59,◆入力◆④「1個放水」計算!$AL$66:$AX$66),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J14" s="144"/>
      <c r="AK14" s="40"/>
      <c r="AL14" s="20"/>
      <c r="AM14" s="20">
        <f>◆入力◆①配管容量!AN39</f>
        <v>0</v>
      </c>
      <c r="AN14" s="20">
        <f>◆入力◆①配管容量!AO39</f>
        <v>0</v>
      </c>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row>
    <row r="15" spans="6:69" x14ac:dyDescent="0.15">
      <c r="F15" s="235"/>
      <c r="G15" s="40"/>
      <c r="H15" s="149"/>
      <c r="I15" s="146" t="b">
        <f>IF(I14="",0,IF(I13="SGP-VB",LOOKUP(I14,◆入力◆④「1個放水」計算!$AL$4:$AX$4,◆入力◆④「1個放水」計算!$AL$5:$AX$5),IF(I13="SGP-PB",LOOKUP(I14,◆入力◆④「1個放水」計算!$AL$15:$AX$15,◆入力◆④「1個放水」計算!$AL$16:$AX$16),IF(I13="HIVP",LOOKUP(I14,◆入力◆④「1個放水」計算!$AL$26:$AX$26,◆入力◆④「1個放水」計算!$AL$27:$AX$27),IF(OR(I13="SGP",I13="フレキ"),LOOKUP(I14,◆入力◆④「1個放水」計算!$AL$37:$AX$37,◆入力◆④「1個放水」計算!$AL$38:$AX$38),IF(I13="SUS",LOOKUP(I14,◆入力◆④「1個放水」計算!$AL$48:$AX$48,◆入力◆④「1個放水」計算!$AL$49:$AX$49),IF(OR(I13="PE",I13="PP"),LOOKUP(I14,◆入力◆④「1個放水」計算!$AL$59:$AX$59,◆入力◆④「1個放水」計算!$AL$60:$AX$60))))))))</f>
        <v>0</v>
      </c>
      <c r="J15" s="121"/>
      <c r="K15" s="150"/>
      <c r="L15" s="98"/>
      <c r="M15" s="151"/>
      <c r="N15" s="93"/>
      <c r="O15" s="87">
        <f>IF(I14=0,0,"Ｔ分")</f>
        <v>0</v>
      </c>
      <c r="P15" s="152">
        <f>IF($F$55=0,0,◆入力◆④「1個放水」計算!P15)</f>
        <v>0</v>
      </c>
      <c r="Q15" s="88">
        <f>IF(I14=0,0,IF(I13="SGP-VB",LOOKUP(I14,◆入力◆④「1個放水」計算!$AL$4:$AX$4,◆入力◆④「1個放水」計算!$AL$8:$AX$8),IF(I13="SGP-PB",LOOKUP(I14,◆入力◆④「1個放水」計算!$AL$15:$AX$15,◆入力◆④「1個放水」計算!$AL$19:$AX$19),IF(I13="HIVP",LOOKUP(I14,◆入力◆④「1個放水」計算!$AL$26:$AX$26,◆入力◆④「1個放水」計算!$AL$30:$AX$30),IF(OR(I13="SGP",I13="フレキ"),LOOKUP(I14,◆入力◆④「1個放水」計算!$AL$37:$AX$37,◆入力◆④「1個放水」計算!$AL$41:$AX$41),IF(I13="SUS",LOOKUP(I14,◆入力◆④「1個放水」計算!$AL$48:$AX$48,◆入力◆④「1個放水」計算!$AL$52:$AX$52),IF(OR(I13="PE",I13="PP"),LOOKUP(I14,◆入力◆④「1個放水」計算!$AL$59:$AX$59,◆入力◆④「1個放水」計算!$AL$64:$AX$64))))))))</f>
        <v>0</v>
      </c>
      <c r="R15" s="100">
        <f t="shared" si="0"/>
        <v>0</v>
      </c>
      <c r="S15" s="101"/>
      <c r="T15" s="92"/>
      <c r="U15" s="153">
        <f>IF($F$55=0,0,◆入力◆④「1個放水」計算!U15)</f>
        <v>0</v>
      </c>
      <c r="V15" s="152">
        <f>IF($F$55=0,0,◆入力◆④「1個放水」計算!V15)</f>
        <v>0</v>
      </c>
      <c r="W15" s="100">
        <f>IF($U15="Yスト",AC15,IF($I13="sgp-vb",AD15,IF($I13="sgp-pb",AE15,IF($I13="hivp",AF15,IF(OR($I13="sgp",$I13="フレキ"),AG15,IF($I13="sus",AH15,IF(OR($I13="PE",$I13="PP"),AI15,0)))))))</f>
        <v>0</v>
      </c>
      <c r="X15" s="100">
        <f t="shared" si="1"/>
        <v>0</v>
      </c>
      <c r="Y15" s="101"/>
      <c r="Z15" s="92">
        <f t="shared" ref="Z15" si="4">ROUNDUP(L14*Y14,2)</f>
        <v>0</v>
      </c>
      <c r="AA15" s="40"/>
      <c r="AB15" s="76"/>
      <c r="AC15" s="90">
        <f>IF(U15="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5" s="90">
        <f>IF($U15="仕切弁",LOOKUP($I14,◆入力◆④「1個放水」計算!$AL$4:$AX$4,◆入力◆④「1個放水」計算!$AL$9:$AX$9),IF($U15="逆止弁",LOOKUP($I14,◆入力◆④「1個放水」計算!$AL$4:$AX$4,◆入力◆④「1個放水」計算!$AL$10:$AX$10),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E15" s="90">
        <f>IF($U15="仕切弁",LOOKUP($I14,◆入力◆④「1個放水」計算!$AL$15:$AX$15,◆入力◆④「1個放水」計算!$AL$20:$AX$20),IF($U15="逆止弁",LOOKUP($I14,◆入力◆④「1個放水」計算!$AL$15:$AX$15,◆入力◆④「1個放水」計算!$AL$21:$AX$21),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F15" s="90">
        <f>IF($U15="仕切弁",LOOKUP($I14,◆入力◆④「1個放水」計算!$AL$26:$AX$26,◆入力◆④「1個放水」計算!$AL$31:$AX$31),IF($U15="逆止弁",LOOKUP($I14,◆入力◆④「1個放水」計算!$AL$26:$AX$26,◆入力◆④「1個放水」計算!$AL$32:$AX$32),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G15" s="90">
        <f>IF($U15="仕切弁",LOOKUP($I14,◆入力◆④「1個放水」計算!$AL$37:$AX$37,◆入力◆④「1個放水」計算!$AL$42:$AX$42),IF($U15="逆止弁",LOOKUP($I14,◆入力◆④「1個放水」計算!$AL$37:$AX$37,◆入力◆④「1個放水」計算!$AL$43:$AX$43),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H15" s="90">
        <f>IF($U15="仕切弁",LOOKUP($I14,◆入力◆④「1個放水」計算!$AL$48:$AX$48,◆入力◆④「1個放水」計算!$AL$53:$AX$53),IF($U15="逆止弁",LOOKUP($I14,◆入力◆④「1個放水」計算!$AL$48:$AX$48,◆入力◆④「1個放水」計算!$AL$54:$AX$54),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I15" s="90">
        <f>IF($U15="仕切弁",LOOKUP($I14,◆入力◆④「1個放水」計算!$AL$59:$AX$59,◆入力◆④「1個放水」計算!$AL$65:$AX$65),IF($U15="逆止弁",LOOKUP($I14,◆入力◆④「1個放水」計算!$AL$59:$AX$59,◆入力◆④「1個放水」計算!$AL$66:$AX$66),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J15" s="144"/>
      <c r="AK15" s="40"/>
      <c r="AL15" s="20"/>
      <c r="AM15" s="20">
        <f>◆入力◆①配管容量!AN45</f>
        <v>0</v>
      </c>
      <c r="AN15" s="20">
        <f>◆入力◆①配管容量!AO45</f>
        <v>0</v>
      </c>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row>
    <row r="16" spans="6:69" x14ac:dyDescent="0.15">
      <c r="F16" s="235" t="s">
        <v>23</v>
      </c>
      <c r="G16" s="40"/>
      <c r="H16" s="132"/>
      <c r="I16" s="133">
        <f>IF($F$55=0,0,◆入力◆④「1個放水」計算!I16)</f>
        <v>0</v>
      </c>
      <c r="J16" s="121"/>
      <c r="K16" s="134"/>
      <c r="L16" s="74"/>
      <c r="M16" s="142"/>
      <c r="N16" s="76"/>
      <c r="O16" s="77">
        <f>IF(I17=0,0,"E９０°")</f>
        <v>0</v>
      </c>
      <c r="P16" s="136">
        <f>IF($F$55=0,0,◆入力◆④「1個放水」計算!P16)</f>
        <v>0</v>
      </c>
      <c r="Q16" s="78">
        <f>IF(I17=0,0,IF(I16="SGP-VB",LOOKUP(I17,◆入力◆④「1個放水」計算!$AL$4:$AX$4,◆入力◆④「1個放水」計算!$AL$6:$AX$6),IF(I16="SGP-PB",LOOKUP(I17,◆入力◆④「1個放水」計算!$AL$15:$AX$15,◆入力◆④「1個放水」計算!$AL$17:$AX$17),IF(I16="HIVP",LOOKUP(I17,◆入力◆④「1個放水」計算!$AL$26:$AX$26,◆入力◆④「1個放水」計算!$AL$28:$AX$28),IF(OR(I16="SGP",I16="フレキ"),LOOKUP(I17,◆入力◆④「1個放水」計算!$AL$37:$AX$37,◆入力◆④「1個放水」計算!$AL$39:$AX$39),IF(I16="SUS",LOOKUP(I17,◆入力◆④「1個放水」計算!$AL$48:$AX$48,◆入力◆④「1個放水」計算!$AL$50:$AX$50),IF(OR(I16="PE",I16="PP"),LOOKUP(I17,◆入力◆④「1個放水」計算!$AL$59:$AX$59,◆入力◆④「1個放水」計算!$AL$61:$AX$61))))))))</f>
        <v>0</v>
      </c>
      <c r="R16" s="79">
        <f t="shared" si="0"/>
        <v>0</v>
      </c>
      <c r="S16" s="80"/>
      <c r="T16" s="81">
        <v>0</v>
      </c>
      <c r="U16" s="137">
        <f>IF($F$55=0,0,◆入力◆④「1個放水」計算!U16)</f>
        <v>0</v>
      </c>
      <c r="V16" s="138">
        <f>IF($F$55=0,0,◆入力◆④「1個放水」計算!V16)</f>
        <v>0</v>
      </c>
      <c r="W16" s="82">
        <f>IF($U16="Yスト",AC16,IF($I16="sgp-vb",AD16,IF($I16="sgp-pb",AE16,IF($I16="hivp",AF16,IF(OR($I16="sgp",$I16="フレキ"),AG16,IF($I16="sus",AH16,IF(OR($I16="PE",$I16="PP"),AI16,0)))))))</f>
        <v>0</v>
      </c>
      <c r="X16" s="82">
        <f t="shared" si="1"/>
        <v>0</v>
      </c>
      <c r="Y16" s="83"/>
      <c r="Z16" s="84">
        <f t="shared" ref="Z16" si="5">IF(AND($U16="電動弁",$V16=1),LOOKUP($K17,$AL$76:$BQ$76,$AL$77:$BQ$77),IF(AND($U16="逆流防止装置E",$V16=1),LOOKUP($I17,$AN$105:$AQ$105,$AN112:$AQ112),IF(AND($U16="逆流防止装置K",$V16=1),LOOKUP($I17,$AN$105:$AQ$105,$AN113:$AQ113),IF(AND($U16="逆流防止装置T",$V16=1),LOOKUP($I17,$AN$105:$AQ$105,$AN114:$AQ114),0))))</f>
        <v>0</v>
      </c>
      <c r="AA16" s="40"/>
      <c r="AB16" s="85"/>
      <c r="AC16" s="86">
        <f>IF(U16="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6" s="86">
        <f>IF($U16="仕切弁",LOOKUP($I17,◆入力◆④「1個放水」計算!$AL$4:$AX$4,◆入力◆④「1個放水」計算!$AL$9:$AX$9),IF($U16="逆止弁",LOOKUP($I17,◆入力◆④「1個放水」計算!$AL$4:$AX$4,◆入力◆④「1個放水」計算!$AL$10:$AX$10),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E16" s="86">
        <f>IF($U16="仕切弁",LOOKUP($I17,◆入力◆④「1個放水」計算!$AL$15:$AX$15,◆入力◆④「1個放水」計算!$AL$20:$AX$20),IF($U16="逆止弁",LOOKUP($I17,◆入力◆④「1個放水」計算!$AL$15:$AX$15,◆入力◆④「1個放水」計算!$AL$21:$AX$21),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F16" s="86">
        <f>IF($U16="仕切弁",LOOKUP($I17,◆入力◆④「1個放水」計算!$AL$26:$AX$26,◆入力◆④「1個放水」計算!$AL$31:$AX$31),IF($U16="逆止弁",LOOKUP($I17,◆入力◆④「1個放水」計算!$AL$26:$AX$26,◆入力◆④「1個放水」計算!$AL$32:$AX$32),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G16" s="86">
        <f>IF($U16="仕切弁",LOOKUP($I17,◆入力◆④「1個放水」計算!$AL$37:$AX$37,◆入力◆④「1個放水」計算!$AL$42:$AX$42),IF($U16="逆止弁",LOOKUP($I17,◆入力◆④「1個放水」計算!$AL$37:$AX$37,◆入力◆④「1個放水」計算!$AL$43:$AX$43),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H16" s="86">
        <f>IF($U16="仕切弁",LOOKUP($I17,◆入力◆④「1個放水」計算!$AL$48:$AX$48,◆入力◆④「1個放水」計算!$AL$53:$AX$53),IF($U16="逆止弁",LOOKUP($I17,◆入力◆④「1個放水」計算!$AL$48:$AX$48,◆入力◆④「1個放水」計算!$AL$54:$AX$54),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I16" s="86">
        <f>IF($U16="仕切弁",LOOKUP($I17,◆入力◆④「1個放水」計算!$AL$59:$AX$59,◆入力◆④「1個放水」計算!$AL$65:$AX$65),IF($U16="逆止弁",LOOKUP($I17,◆入力◆④「1個放水」計算!$AL$59:$AX$59,◆入力◆④「1個放水」計算!$AL$66:$AX$66),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J16" s="144"/>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row>
    <row r="17" spans="6:69" x14ac:dyDescent="0.15">
      <c r="F17" s="235"/>
      <c r="G17" s="40"/>
      <c r="H17" s="149">
        <f>IF($F$55=0,0,◆入力◆④「1個放水」計算!H17)</f>
        <v>0</v>
      </c>
      <c r="I17" s="140">
        <f>IF($F$55=0,0,◆入力◆④「1個放水」計算!I17)</f>
        <v>0</v>
      </c>
      <c r="J17" s="121"/>
      <c r="K17" s="134">
        <f>IF(I17=0,0,K14)</f>
        <v>0</v>
      </c>
      <c r="L17" s="74">
        <f>IF(I17=0,0,IF(I17&gt;=65,K17^1.85*0.012/I18^4.87,ROUNDUP((0.0126+(0.01739-(0.1087*I18/100))/SQRT(4*K17/(60000*PI()*(I18/100)^2)))*(1/(I18/100))*((4*K17/(60000*PI()*(I18/100)^2))^2/(2*9.8)),4)))</f>
        <v>0</v>
      </c>
      <c r="M17" s="142">
        <f>IF($F$55=0,0,◆入力◆④「1個放水」計算!M17)</f>
        <v>0</v>
      </c>
      <c r="N17" s="84">
        <f>ROUNDUP(L17*M17,2)</f>
        <v>0</v>
      </c>
      <c r="O17" s="87">
        <f>IF(I17=0,0,"Ｔ直")</f>
        <v>0</v>
      </c>
      <c r="P17" s="138">
        <f>IF($F$55=0,0,◆入力◆④「1個放水」計算!P17)</f>
        <v>0</v>
      </c>
      <c r="Q17" s="88">
        <f>IF(I17=0,0,IF(I16="SGP-VB",LOOKUP(I17,◆入力◆④「1個放水」計算!$AL$4:$AX$4,◆入力◆④「1個放水」計算!$AL$7:$AX$7),IF(I16="SGP-PB",LOOKUP(I17,◆入力◆④「1個放水」計算!$AL$15:$AX$15,◆入力◆④「1個放水」計算!$AL$18:$AX$18),IF(I16="HIVP",LOOKUP(I17,◆入力◆④「1個放水」計算!$AL$26:$AX$26,◆入力◆④「1個放水」計算!$AL$29:$AX$29),IF(OR(I16="SGP",I16="フレキ"),LOOKUP(I17,◆入力◆④「1個放水」計算!$AL$37:$AX$37,◆入力◆④「1個放水」計算!$AL$40:$AX$40),IF(I16="SUS",LOOKUP(I17,◆入力◆④「1個放水」計算!$AL$48:$AX$48,◆入力◆④「1個放水」計算!$AL$51:$AX$51),IF(OR(I16="PE",I16="PP"),LOOKUP(I17,◆入力◆④「1個放水」計算!$AL$59:$AX$59,◆入力◆④「1個放水」計算!$AL$63:$AX$63))))))))</f>
        <v>0</v>
      </c>
      <c r="R17" s="82">
        <f t="shared" si="0"/>
        <v>0</v>
      </c>
      <c r="S17" s="83">
        <f>R16+R17+R18</f>
        <v>0</v>
      </c>
      <c r="T17" s="84">
        <f>ROUNDUP(L17*S17,2)</f>
        <v>0</v>
      </c>
      <c r="U17" s="143">
        <f>IF($F$55=0,0,◆入力◆④「1個放水」計算!U17)</f>
        <v>0</v>
      </c>
      <c r="V17" s="138">
        <f>IF($F$55=0,0,◆入力◆④「1個放水」計算!V17)</f>
        <v>0</v>
      </c>
      <c r="W17" s="82">
        <f>IF($U17="Yスト",AC17,IF($I16="sgp-vb",AD17,IF($I16="sgp-pb",AE17,IF($I16="hivp",AF17,IF(OR($I16="sgp",$I16="フレキ"),AG17,IF($I16="sus",AH17,IF(OR($I16="PE",$I16="PP"),AI17,0)))))))</f>
        <v>0</v>
      </c>
      <c r="X17" s="82">
        <f t="shared" si="1"/>
        <v>0</v>
      </c>
      <c r="Y17" s="83">
        <f>SUM(X16:X18)</f>
        <v>0</v>
      </c>
      <c r="Z17" s="84">
        <f t="shared" ref="Z17" si="6">IF(AND($U17="電動弁",$V17=1),LOOKUP($K17,$AL$76:$BQ$76,$AL$77:$BQ$77),IF(AND($U17="逆流防止装置E",$V17=1),LOOKUP($I17,$AN$105:$AQ$105,$AN112:$AQ112),IF(AND($U17="逆流防止装置K",$V17=1),LOOKUP($I17,$AN$105:$AQ$105,$AN113:$AQ113),IF(AND($U17="逆流防止装置T",$V17=1),LOOKUP($I17,$AN$105:$AQ$105,$AN114:$AQ114),0))))</f>
        <v>0</v>
      </c>
      <c r="AA17" s="40"/>
      <c r="AB17" s="84">
        <f>N17+T17+Z16+Z17+Z18</f>
        <v>0</v>
      </c>
      <c r="AC17" s="89">
        <f>IF(U17="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7" s="90">
        <f>IF($U17="仕切弁",LOOKUP($I17,◆入力◆④「1個放水」計算!$AL$4:$AX$4,◆入力◆④「1個放水」計算!$AL$9:$AX$9),IF($U17="逆止弁",LOOKUP($I17,◆入力◆④「1個放水」計算!$AL$4:$AX$4,◆入力◆④「1個放水」計算!$AL$10:$AX$10),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E17" s="90">
        <f>IF($U17="仕切弁",LOOKUP($I17,◆入力◆④「1個放水」計算!$AL$15:$AX$15,◆入力◆④「1個放水」計算!$AL$20:$AX$20),IF($U17="逆止弁",LOOKUP($I17,◆入力◆④「1個放水」計算!$AL$15:$AX$15,◆入力◆④「1個放水」計算!$AL$21:$AX$21),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F17" s="90">
        <f>IF($U17="仕切弁",LOOKUP($I17,◆入力◆④「1個放水」計算!$AL$26:$AX$26,◆入力◆④「1個放水」計算!$AL$31:$AX$31),IF($U17="逆止弁",LOOKUP($I17,◆入力◆④「1個放水」計算!$AL$26:$AX$26,◆入力◆④「1個放水」計算!$AL$32:$AX$32),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G17" s="90">
        <f>IF($U17="仕切弁",LOOKUP($I17,◆入力◆④「1個放水」計算!$AL$37:$AX$37,◆入力◆④「1個放水」計算!$AL$42:$AX$42),IF($U17="逆止弁",LOOKUP($I17,◆入力◆④「1個放水」計算!$AL$37:$AX$37,◆入力◆④「1個放水」計算!$AL$43:$AX$43),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H17" s="90">
        <f>IF($U17="仕切弁",LOOKUP($I17,◆入力◆④「1個放水」計算!$AL$48:$AX$48,◆入力◆④「1個放水」計算!$AL$53:$AX$53),IF($U17="逆止弁",LOOKUP($I17,◆入力◆④「1個放水」計算!$AL$48:$AX$48,◆入力◆④「1個放水」計算!$AL$54:$AX$54),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I17" s="90">
        <f>IF($U17="仕切弁",LOOKUP($I17,◆入力◆④「1個放水」計算!$AL$59:$AX$59,◆入力◆④「1個放水」計算!$AL$65:$AX$65),IF($U17="逆止弁",LOOKUP($I17,◆入力◆④「1個放水」計算!$AL$59:$AX$59,◆入力◆④「1個放水」計算!$AL$66:$AX$66),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J17" s="144"/>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row>
    <row r="18" spans="6:69" x14ac:dyDescent="0.15">
      <c r="F18" s="235"/>
      <c r="G18" s="40"/>
      <c r="H18" s="145"/>
      <c r="I18" s="146" t="b">
        <f>IF(I17="",0,IF(I16="SGP-VB",LOOKUP(I17,◆入力◆④「1個放水」計算!$AL$4:$AX$4,◆入力◆④「1個放水」計算!$AL$5:$AX$5),IF(I16="SGP-PB",LOOKUP(I17,◆入力◆④「1個放水」計算!$AL$15:$AX$15,◆入力◆④「1個放水」計算!$AL$16:$AX$16),IF(I16="HIVP",LOOKUP(I17,◆入力◆④「1個放水」計算!$AL$26:$AX$26,◆入力◆④「1個放水」計算!$AL$27:$AX$27),IF(OR(I16="SGP",I16="フレキ"),LOOKUP(I17,◆入力◆④「1個放水」計算!$AL$37:$AX$37,◆入力◆④「1個放水」計算!$AL$38:$AX$38),IF(I16="SUS",LOOKUP(I17,◆入力◆④「1個放水」計算!$AL$48:$AX$48,◆入力◆④「1個放水」計算!$AL$49:$AX$49),IF(OR(I16="PE",I16="PP"),LOOKUP(I17,◆入力◆④「1個放水」計算!$AL$59:$AX$59,◆入力◆④「1個放水」計算!$AL$60:$AX$60))))))))</f>
        <v>0</v>
      </c>
      <c r="J18" s="121"/>
      <c r="K18" s="134"/>
      <c r="L18" s="74"/>
      <c r="M18" s="142"/>
      <c r="N18" s="76"/>
      <c r="O18" s="87">
        <f>IF(I17=0,0,"Ｔ分")</f>
        <v>0</v>
      </c>
      <c r="P18" s="152">
        <f>IF($F$55=0,0,◆入力◆④「1個放水」計算!P18)</f>
        <v>0</v>
      </c>
      <c r="Q18" s="88">
        <f>IF(I17=0,0,IF(I16="SGP-VB",LOOKUP(I17,◆入力◆④「1個放水」計算!$AL$4:$AX$4,◆入力◆④「1個放水」計算!$AL$8:$AX$8),IF(I16="SGP-PB",LOOKUP(I17,◆入力◆④「1個放水」計算!$AL$15:$AX$15,◆入力◆④「1個放水」計算!$AL$19:$AX$19),IF(I16="HIVP",LOOKUP(I17,◆入力◆④「1個放水」計算!$AL$26:$AX$26,◆入力◆④「1個放水」計算!$AL$30:$AX$30),IF(OR(I16="SGP",I16="フレキ"),LOOKUP(I17,◆入力◆④「1個放水」計算!$AL$37:$AX$37,◆入力◆④「1個放水」計算!$AL$41:$AX$41),IF(I16="SUS",LOOKUP(I17,◆入力◆④「1個放水」計算!$AL$48:$AX$48,◆入力◆④「1個放水」計算!$AL$52:$AX$52),IF(OR(I16="PE",I16="PP"),LOOKUP(I17,◆入力◆④「1個放水」計算!$AL$59:$AX$59,◆入力◆④「1個放水」計算!$AL$64:$AX$64))))))))</f>
        <v>0</v>
      </c>
      <c r="R18" s="100">
        <f t="shared" si="0"/>
        <v>0</v>
      </c>
      <c r="S18" s="101"/>
      <c r="T18" s="92"/>
      <c r="U18" s="147">
        <f>IF($F$55=0,0,◆入力◆④「1個放水」計算!U18)</f>
        <v>0</v>
      </c>
      <c r="V18" s="138">
        <f>IF($F$55=0,0,◆入力◆④「1個放水」計算!V18)</f>
        <v>0</v>
      </c>
      <c r="W18" s="100">
        <f>IF($U18="Yスト",AC18,IF($I16="sgp-vb",AD18,IF($I16="sgp-pb",AE18,IF($I16="hivp",AF18,IF(OR($I16="sgp",$I16="フレキ"),AG18,IF($I16="sus",AH18,IF(OR($I16="PE",$I16="PP"),AI18,0)))))))</f>
        <v>0</v>
      </c>
      <c r="X18" s="82">
        <f t="shared" si="1"/>
        <v>0</v>
      </c>
      <c r="Y18" s="83"/>
      <c r="Z18" s="92">
        <f t="shared" ref="Z18" si="7">ROUNDUP(L17*Y17,2)</f>
        <v>0</v>
      </c>
      <c r="AA18" s="40"/>
      <c r="AB18" s="93"/>
      <c r="AC18" s="90">
        <f>IF(U18="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8" s="90">
        <f>IF($U18="仕切弁",LOOKUP($I17,◆入力◆④「1個放水」計算!$AL$4:$AX$4,◆入力◆④「1個放水」計算!$AL$9:$AX$9),IF($U18="逆止弁",LOOKUP($I17,◆入力◆④「1個放水」計算!$AL$4:$AX$4,◆入力◆④「1個放水」計算!$AL$10:$AX$10),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E18" s="90">
        <f>IF($U18="仕切弁",LOOKUP($I17,◆入力◆④「1個放水」計算!$AL$15:$AX$15,◆入力◆④「1個放水」計算!$AL$20:$AX$20),IF($U18="逆止弁",LOOKUP($I17,◆入力◆④「1個放水」計算!$AL$15:$AX$15,◆入力◆④「1個放水」計算!$AL$21:$AX$21),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F18" s="90">
        <f>IF($U18="仕切弁",LOOKUP($I17,◆入力◆④「1個放水」計算!$AL$26:$AX$26,◆入力◆④「1個放水」計算!$AL$31:$AX$31),IF($U18="逆止弁",LOOKUP($I17,◆入力◆④「1個放水」計算!$AL$26:$AX$26,◆入力◆④「1個放水」計算!$AL$32:$AX$32),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G18" s="90">
        <f>IF($U18="仕切弁",LOOKUP($I17,◆入力◆④「1個放水」計算!$AL$37:$AX$37,◆入力◆④「1個放水」計算!$AL$42:$AX$42),IF($U18="逆止弁",LOOKUP($I17,◆入力◆④「1個放水」計算!$AL$37:$AX$37,◆入力◆④「1個放水」計算!$AL$43:$AX$43),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H18" s="90">
        <f>IF($U18="仕切弁",LOOKUP($I17,◆入力◆④「1個放水」計算!$AL$48:$AX$48,◆入力◆④「1個放水」計算!$AL$53:$AX$53),IF($U18="逆止弁",LOOKUP($I17,◆入力◆④「1個放水」計算!$AL$48:$AX$48,◆入力◆④「1個放水」計算!$AL$54:$AX$54),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I18" s="90">
        <f>IF($U18="仕切弁",LOOKUP($I17,◆入力◆④「1個放水」計算!$AL$59:$AX$59,◆入力◆④「1個放水」計算!$AL$65:$AX$65),IF($U18="逆止弁",LOOKUP($I17,◆入力◆④「1個放水」計算!$AL$59:$AX$59,◆入力◆④「1個放水」計算!$AL$66:$AX$66),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J18" s="144"/>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row>
    <row r="19" spans="6:69" x14ac:dyDescent="0.15">
      <c r="F19" s="235" t="s">
        <v>24</v>
      </c>
      <c r="G19" s="40"/>
      <c r="H19" s="154"/>
      <c r="I19" s="133">
        <f>IF($F$55=0,0,◆入力◆④「1個放水」計算!I19)</f>
        <v>0</v>
      </c>
      <c r="J19" s="121"/>
      <c r="K19" s="148"/>
      <c r="L19" s="95"/>
      <c r="M19" s="135"/>
      <c r="N19" s="85"/>
      <c r="O19" s="77">
        <f>IF(I20=0,0,"E９０°")</f>
        <v>0</v>
      </c>
      <c r="P19" s="136">
        <f>IF($F$55=0,0,◆入力◆④「1個放水」計算!P19)</f>
        <v>0</v>
      </c>
      <c r="Q19" s="78">
        <f>IF(I20=0,0,IF(I19="SGP-VB",LOOKUP(I20,◆入力◆④「1個放水」計算!$AL$4:$AX$4,◆入力◆④「1個放水」計算!$AL$6:$AX$6),IF(I19="SGP-PB",LOOKUP(I20,◆入力◆④「1個放水」計算!$AL$15:$AX$15,◆入力◆④「1個放水」計算!$AL$17:$AX$17),IF(I19="HIVP",LOOKUP(I20,◆入力◆④「1個放水」計算!$AL$26:$AX$26,◆入力◆④「1個放水」計算!$AL$28:$AX$28),IF(OR(I19="SGP",I19="フレキ"),LOOKUP(I20,◆入力◆④「1個放水」計算!$AL$37:$AX$37,◆入力◆④「1個放水」計算!$AL$39:$AX$39),IF(I19="SUS",LOOKUP(I20,◆入力◆④「1個放水」計算!$AL$48:$AX$48,◆入力◆④「1個放水」計算!$AL$50:$AX$50),IF(OR(I19="PE",I19="PP"),LOOKUP(I20,◆入力◆④「1個放水」計算!$AL$59:$AX$59,◆入力◆④「1個放水」計算!$AL$61:$AX$61))))))))</f>
        <v>0</v>
      </c>
      <c r="R19" s="79">
        <f t="shared" si="0"/>
        <v>0</v>
      </c>
      <c r="S19" s="80"/>
      <c r="T19" s="81">
        <v>0</v>
      </c>
      <c r="U19" s="137">
        <f>IF($F$55=0,0,◆入力◆④「1個放水」計算!U19)</f>
        <v>0</v>
      </c>
      <c r="V19" s="136">
        <f>IF($F$55=0,0,◆入力◆④「1個放水」計算!V19)</f>
        <v>0</v>
      </c>
      <c r="W19" s="82">
        <f>IF($U19="Yスト",AC19,IF($I19="sgp-vb",AD19,IF($I19="sgp-pb",AE19,IF($I19="hivp",AF19,IF(OR($I19="sgp",$I19="フレキ"),AG19,IF($I19="sus",AH19,IF(OR($I19="PE",$I19="PP"),AI19,0)))))))</f>
        <v>0</v>
      </c>
      <c r="X19" s="79">
        <f t="shared" si="1"/>
        <v>0</v>
      </c>
      <c r="Y19" s="80"/>
      <c r="Z19" s="84">
        <f t="shared" ref="Z19" si="8">IF(AND($U19="電動弁",$V19=1),LOOKUP($K20,$AL$76:$BQ$76,$AL$77:$BQ$77),IF(AND($U19="逆流防止装置E",$V19=1),LOOKUP($I20,$AN$105:$AQ$105,$AN115:$AQ115),IF(AND($U19="逆流防止装置K",$V19=1),LOOKUP($I20,$AN$105:$AQ$105,$AN116:$AQ116),IF(AND($U19="逆流防止装置T",$V19=1),LOOKUP($I20,$AN$105:$AQ$105,$AN117:$AQ117),0))))</f>
        <v>0</v>
      </c>
      <c r="AA19" s="40"/>
      <c r="AB19" s="76"/>
      <c r="AC19" s="86">
        <f>IF(U19="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19" s="86">
        <f>IF($U19="仕切弁",LOOKUP($I20,◆入力◆④「1個放水」計算!$AL$4:$AX$4,◆入力◆④「1個放水」計算!$AL$9:$AX$9),IF($U19="逆止弁",LOOKUP($I20,◆入力◆④「1個放水」計算!$AL$4:$AX$4,◆入力◆④「1個放水」計算!$AL$10:$AX$10),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E19" s="86">
        <f>IF($U19="仕切弁",LOOKUP($I20,◆入力◆④「1個放水」計算!$AL$15:$AX$15,◆入力◆④「1個放水」計算!$AL$20:$AX$20),IF($U19="逆止弁",LOOKUP($I20,◆入力◆④「1個放水」計算!$AL$15:$AX$15,◆入力◆④「1個放水」計算!$AL$21:$AX$21),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F19" s="86">
        <f>IF($U19="仕切弁",LOOKUP($I20,◆入力◆④「1個放水」計算!$AL$26:$AX$26,◆入力◆④「1個放水」計算!$AL$31:$AX$31),IF($U19="逆止弁",LOOKUP($I20,◆入力◆④「1個放水」計算!$AL$26:$AX$26,◆入力◆④「1個放水」計算!$AL$32:$AX$32),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G19" s="86">
        <f>IF($U19="仕切弁",LOOKUP($I20,◆入力◆④「1個放水」計算!$AL$37:$AX$37,◆入力◆④「1個放水」計算!$AL$42:$AX$42),IF($U19="逆止弁",LOOKUP($I20,◆入力◆④「1個放水」計算!$AL$37:$AX$37,◆入力◆④「1個放水」計算!$AL$43:$AX$43),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H19" s="86">
        <f>IF($U19="仕切弁",LOOKUP($I20,◆入力◆④「1個放水」計算!$AL$48:$AX$48,◆入力◆④「1個放水」計算!$AL$53:$AX$53),IF($U19="逆止弁",LOOKUP($I20,◆入力◆④「1個放水」計算!$AL$48:$AX$48,◆入力◆④「1個放水」計算!$AL$54:$AX$54),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I19" s="86">
        <f>IF($U19="仕切弁",LOOKUP($I20,◆入力◆④「1個放水」計算!$AL$59:$AX$59,◆入力◆④「1個放水」計算!$AL$65:$AX$65),IF($U19="逆止弁",LOOKUP($I20,◆入力◆④「1個放水」計算!$AL$59:$AX$59,◆入力◆④「1個放水」計算!$AL$66:$AX$66),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J19" s="115"/>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row>
    <row r="20" spans="6:69" x14ac:dyDescent="0.15">
      <c r="F20" s="235"/>
      <c r="G20" s="40"/>
      <c r="H20" s="149">
        <f>IF($F$55=0,0,◆入力◆④「1個放水」計算!H20)</f>
        <v>0</v>
      </c>
      <c r="I20" s="140">
        <f>IF($F$55=0,0,◆入力◆④「1個放水」計算!I20)</f>
        <v>0</v>
      </c>
      <c r="J20" s="121"/>
      <c r="K20" s="134">
        <f>IF(I20=0,0,K17)</f>
        <v>0</v>
      </c>
      <c r="L20" s="74">
        <f>IF(I20=0,0,IF(I20&gt;=65,K20^1.85*0.012/I21^4.87,ROUNDUP((0.0126+(0.01739-(0.1087*I21/100))/SQRT(4*K20/(60000*PI()*(I21/100)^2)))*(1/(I21/100))*((4*K20/(60000*PI()*(I21/100)^2))^2/(2*9.8)),4)))</f>
        <v>0</v>
      </c>
      <c r="M20" s="142">
        <f>IF($F$55=0,0,◆入力◆④「1個放水」計算!M20)</f>
        <v>0</v>
      </c>
      <c r="N20" s="84">
        <f>ROUNDUP(L20*M20,2)</f>
        <v>0</v>
      </c>
      <c r="O20" s="87">
        <f>IF(I20=0,0,"Ｔ直")</f>
        <v>0</v>
      </c>
      <c r="P20" s="138">
        <f>IF($F$55=0,0,◆入力◆④「1個放水」計算!P20)</f>
        <v>0</v>
      </c>
      <c r="Q20" s="88">
        <f>IF(I20=0,0,IF(I19="SGP-VB",LOOKUP(I20,◆入力◆④「1個放水」計算!$AL$4:$AX$4,◆入力◆④「1個放水」計算!$AL$7:$AX$7),IF(I19="SGP-PB",LOOKUP(I20,◆入力◆④「1個放水」計算!$AL$15:$AX$15,◆入力◆④「1個放水」計算!$AL$18:$AX$18),IF(I19="HIVP",LOOKUP(I20,◆入力◆④「1個放水」計算!$AL$26:$AX$26,◆入力◆④「1個放水」計算!$AL$29:$AX$29),IF(OR(I19="SGP",I19="フレキ"),LOOKUP(I20,◆入力◆④「1個放水」計算!$AL$37:$AX$37,◆入力◆④「1個放水」計算!$AL$40:$AX$40),IF(I19="SUS",LOOKUP(I20,◆入力◆④「1個放水」計算!$AL$48:$AX$48,◆入力◆④「1個放水」計算!$AL$51:$AX$51),IF(OR(I19="PE",I19="PP"),LOOKUP(I20,◆入力◆④「1個放水」計算!$AL$59:$AX$59,◆入力◆④「1個放水」計算!$AL$63:$AX$63))))))))</f>
        <v>0</v>
      </c>
      <c r="R20" s="82">
        <f t="shared" si="0"/>
        <v>0</v>
      </c>
      <c r="S20" s="83">
        <f>R19+R20+R21</f>
        <v>0</v>
      </c>
      <c r="T20" s="84">
        <f>ROUNDUP(L20*S20,2)</f>
        <v>0</v>
      </c>
      <c r="U20" s="143">
        <f>IF($F$55=0,0,◆入力◆④「1個放水」計算!U20)</f>
        <v>0</v>
      </c>
      <c r="V20" s="138">
        <f>IF($F$55=0,0,◆入力◆④「1個放水」計算!V20)</f>
        <v>0</v>
      </c>
      <c r="W20" s="82">
        <f>IF($U20="Yスト",AC20,IF($I19="sgp-vb",AD20,IF($I19="sgp-pb",AE20,IF($I19="hivp",AF20,IF(OR($I19="sgp",$I19="フレキ"),AG20,IF($I19="sus",AH20,IF(OR($I19="PE",$I19="PP"),AI20,0)))))))</f>
        <v>0</v>
      </c>
      <c r="X20" s="82">
        <f t="shared" si="1"/>
        <v>0</v>
      </c>
      <c r="Y20" s="83">
        <f>SUM(X19:X21)</f>
        <v>0</v>
      </c>
      <c r="Z20" s="84">
        <f t="shared" ref="Z20" si="9">IF(AND($U20="電動弁",$V20=1),LOOKUP($K20,$AL$76:$BQ$76,$AL$77:$BQ$77),IF(AND($U20="逆流防止装置E",$V20=1),LOOKUP($I20,$AN$105:$AQ$105,$AN115:$AQ115),IF(AND($U20="逆流防止装置K",$V20=1),LOOKUP($I20,$AN$105:$AQ$105,$AN116:$AQ116),IF(AND($U20="逆流防止装置T",$V20=1),LOOKUP($I20,$AN$105:$AQ$105,$AN117:$AQ117),0))))</f>
        <v>0</v>
      </c>
      <c r="AA20" s="40"/>
      <c r="AB20" s="84">
        <f>N20+T20+Z19+Z20+Z21</f>
        <v>0</v>
      </c>
      <c r="AC20" s="89">
        <f>IF(U20="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20" s="90">
        <f>IF($U20="仕切弁",LOOKUP($I20,◆入力◆④「1個放水」計算!$AL$4:$AX$4,◆入力◆④「1個放水」計算!$AL$9:$AX$9),IF($U20="逆止弁",LOOKUP($I20,◆入力◆④「1個放水」計算!$AL$4:$AX$4,◆入力◆④「1個放水」計算!$AL$10:$AX$10),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E20" s="90">
        <f>IF($U20="仕切弁",LOOKUP($I20,◆入力◆④「1個放水」計算!$AL$15:$AX$15,◆入力◆④「1個放水」計算!$AL$20:$AX$20),IF($U20="逆止弁",LOOKUP($I20,◆入力◆④「1個放水」計算!$AL$15:$AX$15,◆入力◆④「1個放水」計算!$AL$21:$AX$21),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F20" s="90">
        <f>IF($U20="仕切弁",LOOKUP($I20,◆入力◆④「1個放水」計算!$AL$26:$AX$26,◆入力◆④「1個放水」計算!$AL$31:$AX$31),IF($U20="逆止弁",LOOKUP($I20,◆入力◆④「1個放水」計算!$AL$26:$AX$26,◆入力◆④「1個放水」計算!$AL$32:$AX$32),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G20" s="90">
        <f>IF($U20="仕切弁",LOOKUP($I20,◆入力◆④「1個放水」計算!$AL$37:$AX$37,◆入力◆④「1個放水」計算!$AL$42:$AX$42),IF($U20="逆止弁",LOOKUP($I20,◆入力◆④「1個放水」計算!$AL$37:$AX$37,◆入力◆④「1個放水」計算!$AL$43:$AX$43),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H20" s="90">
        <f>IF($U20="仕切弁",LOOKUP($I20,◆入力◆④「1個放水」計算!$AL$48:$AX$48,◆入力◆④「1個放水」計算!$AL$53:$AX$53),IF($U20="逆止弁",LOOKUP($I20,◆入力◆④「1個放水」計算!$AL$48:$AX$48,◆入力◆④「1個放水」計算!$AL$54:$AX$54),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I20" s="90">
        <f>IF($U20="仕切弁",LOOKUP($I20,◆入力◆④「1個放水」計算!$AL$59:$AX$59,◆入力◆④「1個放水」計算!$AL$65:$AX$65),IF($U20="逆止弁",LOOKUP($I20,◆入力◆④「1個放水」計算!$AL$59:$AX$59,◆入力◆④「1個放水」計算!$AL$66:$AX$66),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J20" s="115"/>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row>
    <row r="21" spans="6:69" x14ac:dyDescent="0.15">
      <c r="F21" s="235"/>
      <c r="G21" s="40"/>
      <c r="H21" s="149"/>
      <c r="I21" s="146" t="b">
        <f>IF(I20="",0,IF(I19="SGP-VB",LOOKUP(I20,◆入力◆④「1個放水」計算!$AL$4:$AX$4,◆入力◆④「1個放水」計算!$AL$5:$AX$5),IF(I19="SGP-PB",LOOKUP(I20,◆入力◆④「1個放水」計算!$AL$15:$AX$15,◆入力◆④「1個放水」計算!$AL$16:$AX$16),IF(I19="HIVP",LOOKUP(I20,◆入力◆④「1個放水」計算!$AL$26:$AX$26,◆入力◆④「1個放水」計算!$AL$27:$AX$27),IF(OR(I19="SGP",I19="フレキ"),LOOKUP(I20,◆入力◆④「1個放水」計算!$AL$37:$AX$37,◆入力◆④「1個放水」計算!$AL$38:$AX$38),IF(I19="SUS",LOOKUP(I20,◆入力◆④「1個放水」計算!$AL$48:$AX$48,◆入力◆④「1個放水」計算!$AL$49:$AX$49),IF(OR(I19="PE",I19="PP"),LOOKUP(I20,◆入力◆④「1個放水」計算!$AL$59:$AX$59,◆入力◆④「1個放水」計算!$AL$60:$AX$60))))))))</f>
        <v>0</v>
      </c>
      <c r="J21" s="121"/>
      <c r="K21" s="150"/>
      <c r="L21" s="98"/>
      <c r="M21" s="151"/>
      <c r="N21" s="93"/>
      <c r="O21" s="87">
        <f>IF(I20=0,0,"Ｔ分")</f>
        <v>0</v>
      </c>
      <c r="P21" s="152">
        <f>IF($F$55=0,0,◆入力◆④「1個放水」計算!P21)</f>
        <v>0</v>
      </c>
      <c r="Q21" s="88">
        <f>IF(I20=0,0,IF(I19="SGP-VB",LOOKUP(I20,◆入力◆④「1個放水」計算!$AL$4:$AX$4,◆入力◆④「1個放水」計算!$AL$8:$AX$8),IF(I19="SGP-PB",LOOKUP(I20,◆入力◆④「1個放水」計算!$AL$15:$AX$15,◆入力◆④「1個放水」計算!$AL$19:$AX$19),IF(I19="HIVP",LOOKUP(I20,◆入力◆④「1個放水」計算!$AL$26:$AX$26,◆入力◆④「1個放水」計算!$AL$30:$AX$30),IF(OR(I19="SGP",I19="フレキ"),LOOKUP(I20,◆入力◆④「1個放水」計算!$AL$37:$AX$37,◆入力◆④「1個放水」計算!$AL$41:$AX$41),IF(I19="SUS",LOOKUP(I20,◆入力◆④「1個放水」計算!$AL$48:$AX$48,◆入力◆④「1個放水」計算!$AL$52:$AX$52),IF(OR(I19="PE",I19="PP"),LOOKUP(I20,◆入力◆④「1個放水」計算!$AL$59:$AX$59,◆入力◆④「1個放水」計算!$AL$64:$AX$64))))))))</f>
        <v>0</v>
      </c>
      <c r="R21" s="100">
        <f t="shared" si="0"/>
        <v>0</v>
      </c>
      <c r="S21" s="101"/>
      <c r="T21" s="92"/>
      <c r="U21" s="147">
        <f>IF($F$55=0,0,◆入力◆④「1個放水」計算!U21)</f>
        <v>0</v>
      </c>
      <c r="V21" s="152">
        <f>IF($F$55=0,0,◆入力◆④「1個放水」計算!V21)</f>
        <v>0</v>
      </c>
      <c r="W21" s="100">
        <f>IF($U21="Yスト",AC21,IF($I19="sgp-vb",AD21,IF($I19="sgp-pb",AE21,IF($I19="hivp",AF21,IF(OR($I19="sgp",$I19="フレキ"),AG21,IF($I19="sus",AH21,IF(OR($I19="PE",$I19="PP"),AI21,0)))))))</f>
        <v>0</v>
      </c>
      <c r="X21" s="100">
        <f t="shared" si="1"/>
        <v>0</v>
      </c>
      <c r="Y21" s="101"/>
      <c r="Z21" s="92">
        <f t="shared" ref="Z21" si="10">ROUNDUP(L20*Y20,2)</f>
        <v>0</v>
      </c>
      <c r="AA21" s="40"/>
      <c r="AB21" s="76"/>
      <c r="AC21" s="90">
        <f>IF(U21="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21" s="90">
        <f>IF($U21="仕切弁",LOOKUP($I20,◆入力◆④「1個放水」計算!$AL$4:$AX$4,◆入力◆④「1個放水」計算!$AL$9:$AX$9),IF($U21="逆止弁",LOOKUP($I20,◆入力◆④「1個放水」計算!$AL$4:$AX$4,◆入力◆④「1個放水」計算!$AL$10:$AX$10),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E21" s="90">
        <f>IF($U21="仕切弁",LOOKUP($I20,◆入力◆④「1個放水」計算!$AL$15:$AX$15,◆入力◆④「1個放水」計算!$AL$20:$AX$20),IF($U21="逆止弁",LOOKUP($I20,◆入力◆④「1個放水」計算!$AL$15:$AX$15,◆入力◆④「1個放水」計算!$AL$21:$AX$21),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F21" s="90">
        <f>IF($U21="仕切弁",LOOKUP($I20,◆入力◆④「1個放水」計算!$AL$26:$AX$26,◆入力◆④「1個放水」計算!$AL$31:$AX$31),IF($U21="逆止弁",LOOKUP($I20,◆入力◆④「1個放水」計算!$AL$26:$AX$26,◆入力◆④「1個放水」計算!$AL$32:$AX$32),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G21" s="90">
        <f>IF($U21="仕切弁",LOOKUP($I20,◆入力◆④「1個放水」計算!$AL$37:$AX$37,◆入力◆④「1個放水」計算!$AL$42:$AX$42),IF($U21="逆止弁",LOOKUP($I20,◆入力◆④「1個放水」計算!$AL$37:$AX$37,◆入力◆④「1個放水」計算!$AL$43:$AX$43),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H21" s="90">
        <f>IF($U21="仕切弁",LOOKUP($I20,◆入力◆④「1個放水」計算!$AL$48:$AX$48,◆入力◆④「1個放水」計算!$AL$53:$AX$53),IF($U21="逆止弁",LOOKUP($I20,◆入力◆④「1個放水」計算!$AL$48:$AX$48,◆入力◆④「1個放水」計算!$AL$54:$AX$54),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I21" s="90">
        <f>IF($U21="仕切弁",LOOKUP($I20,◆入力◆④「1個放水」計算!$AL$59:$AX$59,◆入力◆④「1個放水」計算!$AL$65:$AX$65),IF($U21="逆止弁",LOOKUP($I20,◆入力◆④「1個放水」計算!$AL$59:$AX$59,◆入力◆④「1個放水」計算!$AL$66:$AX$66),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J21" s="115"/>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row>
    <row r="22" spans="6:69" x14ac:dyDescent="0.15">
      <c r="F22" s="235" t="s">
        <v>25</v>
      </c>
      <c r="G22" s="40"/>
      <c r="H22" s="132"/>
      <c r="I22" s="133">
        <f>IF($F$55=0,0,◆入力◆④「1個放水」計算!I22)</f>
        <v>0</v>
      </c>
      <c r="J22" s="121"/>
      <c r="K22" s="134"/>
      <c r="L22" s="74"/>
      <c r="M22" s="142"/>
      <c r="N22" s="76"/>
      <c r="O22" s="77">
        <f>IF(I23=0,0,"E９０°")</f>
        <v>0</v>
      </c>
      <c r="P22" s="136">
        <f>IF($F$55=0,0,◆入力◆④「1個放水」計算!P22)</f>
        <v>0</v>
      </c>
      <c r="Q22" s="78">
        <f>IF(I23=0,0,IF(I22="SGP-VB",LOOKUP(I23,◆入力◆④「1個放水」計算!$AL$4:$AX$4,◆入力◆④「1個放水」計算!$AL$6:$AX$6),IF(I22="SGP-PB",LOOKUP(I23,◆入力◆④「1個放水」計算!$AL$15:$AX$15,◆入力◆④「1個放水」計算!$AL$17:$AX$17),IF(I22="HIVP",LOOKUP(I23,◆入力◆④「1個放水」計算!$AL$26:$AX$26,◆入力◆④「1個放水」計算!$AL$28:$AX$28),IF(OR(I22="SGP",I22="フレキ"),LOOKUP(I23,◆入力◆④「1個放水」計算!$AL$37:$AX$37,◆入力◆④「1個放水」計算!$AL$39:$AX$39),IF(I22="SUS",LOOKUP(I23,◆入力◆④「1個放水」計算!$AL$48:$AX$48,◆入力◆④「1個放水」計算!$AL$50:$AX$50),IF(OR(I22="PE",I22="PP"),LOOKUP(I23,◆入力◆④「1個放水」計算!$AL$59:$AX$59,◆入力◆④「1個放水」計算!$AL$61:$AX$61))))))))</f>
        <v>0</v>
      </c>
      <c r="R22" s="79">
        <f t="shared" si="0"/>
        <v>0</v>
      </c>
      <c r="S22" s="80"/>
      <c r="T22" s="81">
        <v>0</v>
      </c>
      <c r="U22" s="137">
        <f>IF($F$55=0,0,◆入力◆④「1個放水」計算!U22)</f>
        <v>0</v>
      </c>
      <c r="V22" s="138">
        <f>IF($F$55=0,0,◆入力◆④「1個放水」計算!V22)</f>
        <v>0</v>
      </c>
      <c r="W22" s="82">
        <f>IF($U22="Yスト",AC22,IF($I22="sgp-vb",AD22,IF($I22="sgp-pb",AE22,IF($I22="hivp",AF22,IF(OR($I22="sgp",$I22="フレキ"),AG22,IF($I22="sus",AH22,IF(OR($I22="PE",$I22="PP"),AI22,0)))))))</f>
        <v>0</v>
      </c>
      <c r="X22" s="82">
        <f t="shared" si="1"/>
        <v>0</v>
      </c>
      <c r="Y22" s="83"/>
      <c r="Z22" s="84">
        <f t="shared" ref="Z22" si="11">IF(AND($U22="電動弁",$V22=1),LOOKUP($K23,$AL$76:$BQ$76,$AL$77:$BQ$77),IF(AND($U22="逆流防止装置E",$V22=1),LOOKUP($I23,$AN$105:$AQ$105,$AN118:$AQ118),IF(AND($U22="逆流防止装置K",$V22=1),LOOKUP($I23,$AN$105:$AQ$105,$AN119:$AQ119),IF(AND($U22="逆流防止装置T",$V22=1),LOOKUP($I23,$AN$105:$AQ$105,$AN120:$AQ120),0))))</f>
        <v>0</v>
      </c>
      <c r="AA22" s="40"/>
      <c r="AB22" s="85"/>
      <c r="AC22" s="86">
        <f>IF(U22="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2" s="86">
        <f>IF($U22="仕切弁",LOOKUP($I23,◆入力◆④「1個放水」計算!$AL$4:$AX$4,◆入力◆④「1個放水」計算!$AL$9:$AX$9),IF($U22="逆止弁",LOOKUP($I23,◆入力◆④「1個放水」計算!$AL$4:$AX$4,◆入力◆④「1個放水」計算!$AL$10:$AX$10),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E22" s="86">
        <f>IF($U22="仕切弁",LOOKUP($I23,◆入力◆④「1個放水」計算!$AL$15:$AX$15,◆入力◆④「1個放水」計算!$AL$20:$AX$20),IF($U22="逆止弁",LOOKUP($I23,◆入力◆④「1個放水」計算!$AL$15:$AX$15,◆入力◆④「1個放水」計算!$AL$21:$AX$21),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F22" s="86">
        <f>IF($U22="仕切弁",LOOKUP($I23,◆入力◆④「1個放水」計算!$AL$26:$AX$26,◆入力◆④「1個放水」計算!$AL$31:$AX$31),IF($U22="逆止弁",LOOKUP($I23,◆入力◆④「1個放水」計算!$AL$26:$AX$26,◆入力◆④「1個放水」計算!$AL$32:$AX$32),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G22" s="86">
        <f>IF($U22="仕切弁",LOOKUP($I23,◆入力◆④「1個放水」計算!$AL$37:$AX$37,◆入力◆④「1個放水」計算!$AL$42:$AX$42),IF($U22="逆止弁",LOOKUP($I23,◆入力◆④「1個放水」計算!$AL$37:$AX$37,◆入力◆④「1個放水」計算!$AL$43:$AX$43),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H22" s="86">
        <f>IF($U22="仕切弁",LOOKUP($I23,◆入力◆④「1個放水」計算!$AL$48:$AX$48,◆入力◆④「1個放水」計算!$AL$53:$AX$53),IF($U22="逆止弁",LOOKUP($I23,◆入力◆④「1個放水」計算!$AL$48:$AX$48,◆入力◆④「1個放水」計算!$AL$54:$AX$54),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I22" s="86">
        <f>IF($U22="仕切弁",LOOKUP($I23,◆入力◆④「1個放水」計算!$AL$59:$AX$59,◆入力◆④「1個放水」計算!$AL$65:$AX$65),IF($U22="逆止弁",LOOKUP($I23,◆入力◆④「1個放水」計算!$AL$59:$AX$59,◆入力◆④「1個放水」計算!$AL$66:$AX$66),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J22" s="115"/>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row>
    <row r="23" spans="6:69" x14ac:dyDescent="0.15">
      <c r="F23" s="235"/>
      <c r="G23" s="40"/>
      <c r="H23" s="149">
        <f>IF($F$55=0,0,◆入力◆④「1個放水」計算!H23)</f>
        <v>0</v>
      </c>
      <c r="I23" s="140">
        <f>IF($F$55=0,0,◆入力◆④「1個放水」計算!I23)</f>
        <v>0</v>
      </c>
      <c r="J23" s="121"/>
      <c r="K23" s="134">
        <f>IF(I23=0,0,K20)</f>
        <v>0</v>
      </c>
      <c r="L23" s="74">
        <f>IF(I23=0,0,IF(I23&gt;=65,K23^1.85*0.012/I24^4.87,ROUNDUP((0.0126+(0.01739-(0.1087*I24/100))/SQRT(4*K23/(60000*PI()*(I24/100)^2)))*(1/(I24/100))*((4*K23/(60000*PI()*(I24/100)^2))^2/(2*9.8)),4)))</f>
        <v>0</v>
      </c>
      <c r="M23" s="142">
        <f>IF($F$55=0,0,◆入力◆④「1個放水」計算!M23)</f>
        <v>0</v>
      </c>
      <c r="N23" s="84">
        <f>ROUNDUP(L23*M23,2)</f>
        <v>0</v>
      </c>
      <c r="O23" s="87">
        <f>IF(I23=0,0,"Ｔ直")</f>
        <v>0</v>
      </c>
      <c r="P23" s="138">
        <f>IF($F$55=0,0,◆入力◆④「1個放水」計算!P23)</f>
        <v>0</v>
      </c>
      <c r="Q23" s="88">
        <f>IF(I23=0,0,IF(I22="SGP-VB",LOOKUP(I23,◆入力◆④「1個放水」計算!$AL$4:$AX$4,◆入力◆④「1個放水」計算!$AL$7:$AX$7),IF(I22="SGP-PB",LOOKUP(I23,◆入力◆④「1個放水」計算!$AL$15:$AX$15,◆入力◆④「1個放水」計算!$AL$18:$AX$18),IF(I22="HIVP",LOOKUP(I23,◆入力◆④「1個放水」計算!$AL$26:$AX$26,◆入力◆④「1個放水」計算!$AL$29:$AX$29),IF(OR(I22="SGP",I22="フレキ"),LOOKUP(I23,◆入力◆④「1個放水」計算!$AL$37:$AX$37,◆入力◆④「1個放水」計算!$AL$40:$AX$40),IF(I22="SUS",LOOKUP(I23,◆入力◆④「1個放水」計算!$AL$48:$AX$48,◆入力◆④「1個放水」計算!$AL$51:$AX$51),IF(OR(I22="PE",I22="PP"),LOOKUP(I23,◆入力◆④「1個放水」計算!$AL$59:$AX$59,◆入力◆④「1個放水」計算!$AL$63:$AX$63))))))))</f>
        <v>0</v>
      </c>
      <c r="R23" s="82">
        <f t="shared" si="0"/>
        <v>0</v>
      </c>
      <c r="S23" s="83">
        <f>R22+R23+R24</f>
        <v>0</v>
      </c>
      <c r="T23" s="84">
        <f>ROUNDUP(L23*S23,2)</f>
        <v>0</v>
      </c>
      <c r="U23" s="143">
        <f>IF($F$55=0,0,◆入力◆④「1個放水」計算!U23)</f>
        <v>0</v>
      </c>
      <c r="V23" s="138">
        <f>IF($F$55=0,0,◆入力◆④「1個放水」計算!V23)</f>
        <v>0</v>
      </c>
      <c r="W23" s="82">
        <f>IF($U23="Yスト",AC23,IF($I22="sgp-vb",AD23,IF($I22="sgp-pb",AE23,IF($I22="hivp",AF23,IF(OR($I22="sgp",$I22="フレキ"),AG23,IF($I22="sus",AH23,IF(OR($I22="PE",$I22="PP"),AI23,0)))))))</f>
        <v>0</v>
      </c>
      <c r="X23" s="82">
        <f t="shared" si="1"/>
        <v>0</v>
      </c>
      <c r="Y23" s="83">
        <f>SUM(X22:X24)</f>
        <v>0</v>
      </c>
      <c r="Z23" s="84">
        <f t="shared" ref="Z23" si="12">IF(AND($U23="電動弁",$V23=1),LOOKUP($K23,$AL$76:$BQ$76,$AL$77:$BQ$77),IF(AND($U23="逆流防止装置E",$V23=1),LOOKUP($I23,$AN$105:$AQ$105,$AN118:$AQ118),IF(AND($U23="逆流防止装置K",$V23=1),LOOKUP($I23,$AN$105:$AQ$105,$AN119:$AQ119),IF(AND($U23="逆流防止装置T",$V23=1),LOOKUP($I23,$AN$105:$AQ$105,$AN120:$AQ120),0))))</f>
        <v>0</v>
      </c>
      <c r="AA23" s="40"/>
      <c r="AB23" s="84">
        <f>N23+T23+Z22+Z23+Z24</f>
        <v>0</v>
      </c>
      <c r="AC23" s="89">
        <f>IF(U23="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3" s="90">
        <f>IF($U23="仕切弁",LOOKUP($I23,◆入力◆④「1個放水」計算!$AL$4:$AX$4,◆入力◆④「1個放水」計算!$AL$9:$AX$9),IF($U23="逆止弁",LOOKUP($I23,◆入力◆④「1個放水」計算!$AL$4:$AX$4,◆入力◆④「1個放水」計算!$AL$10:$AX$10),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E23" s="90">
        <f>IF($U23="仕切弁",LOOKUP($I23,◆入力◆④「1個放水」計算!$AL$15:$AX$15,◆入力◆④「1個放水」計算!$AL$20:$AX$20),IF($U23="逆止弁",LOOKUP($I23,◆入力◆④「1個放水」計算!$AL$15:$AX$15,◆入力◆④「1個放水」計算!$AL$21:$AX$21),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F23" s="90">
        <f>IF($U23="仕切弁",LOOKUP($I23,◆入力◆④「1個放水」計算!$AL$26:$AX$26,◆入力◆④「1個放水」計算!$AL$31:$AX$31),IF($U23="逆止弁",LOOKUP($I23,◆入力◆④「1個放水」計算!$AL$26:$AX$26,◆入力◆④「1個放水」計算!$AL$32:$AX$32),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G23" s="90">
        <f>IF($U23="仕切弁",LOOKUP($I23,◆入力◆④「1個放水」計算!$AL$37:$AX$37,◆入力◆④「1個放水」計算!$AL$42:$AX$42),IF($U23="逆止弁",LOOKUP($I23,◆入力◆④「1個放水」計算!$AL$37:$AX$37,◆入力◆④「1個放水」計算!$AL$43:$AX$43),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H23" s="90">
        <f>IF($U23="仕切弁",LOOKUP($I23,◆入力◆④「1個放水」計算!$AL$48:$AX$48,◆入力◆④「1個放水」計算!$AL$53:$AX$53),IF($U23="逆止弁",LOOKUP($I23,◆入力◆④「1個放水」計算!$AL$48:$AX$48,◆入力◆④「1個放水」計算!$AL$54:$AX$54),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I23" s="90">
        <f>IF($U23="仕切弁",LOOKUP($I23,◆入力◆④「1個放水」計算!$AL$59:$AX$59,◆入力◆④「1個放水」計算!$AL$65:$AX$65),IF($U23="逆止弁",LOOKUP($I23,◆入力◆④「1個放水」計算!$AL$59:$AX$59,◆入力◆④「1個放水」計算!$AL$66:$AX$66),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J23" s="144"/>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row>
    <row r="24" spans="6:69" x14ac:dyDescent="0.15">
      <c r="F24" s="235"/>
      <c r="G24" s="40"/>
      <c r="H24" s="145"/>
      <c r="I24" s="146" t="b">
        <f>IF(I23="",0,IF(I22="SGP-VB",LOOKUP(I23,◆入力◆④「1個放水」計算!$AL$4:$AX$4,◆入力◆④「1個放水」計算!$AL$5:$AX$5),IF(I22="SGP-PB",LOOKUP(I23,◆入力◆④「1個放水」計算!$AL$15:$AX$15,◆入力◆④「1個放水」計算!$AL$16:$AX$16),IF(I22="HIVP",LOOKUP(I23,◆入力◆④「1個放水」計算!$AL$26:$AX$26,◆入力◆④「1個放水」計算!$AL$27:$AX$27),IF(OR(I22="SGP",I22="フレキ"),LOOKUP(I23,◆入力◆④「1個放水」計算!$AL$37:$AX$37,◆入力◆④「1個放水」計算!$AL$38:$AX$38),IF(I22="SUS",LOOKUP(I23,◆入力◆④「1個放水」計算!$AL$48:$AX$48,◆入力◆④「1個放水」計算!$AL$49:$AX$49),IF(OR(I22="PE",I22="PP"),LOOKUP(I23,◆入力◆④「1個放水」計算!$AL$59:$AX$59,◆入力◆④「1個放水」計算!$AL$60:$AX$60))))))))</f>
        <v>0</v>
      </c>
      <c r="J24" s="121"/>
      <c r="K24" s="134"/>
      <c r="L24" s="74"/>
      <c r="M24" s="142"/>
      <c r="N24" s="76"/>
      <c r="O24" s="87">
        <f>IF(I23=0,0,"Ｔ分")</f>
        <v>0</v>
      </c>
      <c r="P24" s="152">
        <f>IF($F$55=0,0,◆入力◆④「1個放水」計算!P24)</f>
        <v>0</v>
      </c>
      <c r="Q24" s="88">
        <f>IF(I23=0,0,IF(I22="SGP-VB",LOOKUP(I23,◆入力◆④「1個放水」計算!$AL$4:$AX$4,◆入力◆④「1個放水」計算!$AL$8:$AX$8),IF(I22="SGP-PB",LOOKUP(I23,◆入力◆④「1個放水」計算!$AL$15:$AX$15,◆入力◆④「1個放水」計算!$AL$19:$AX$19),IF(I22="HIVP",LOOKUP(I23,◆入力◆④「1個放水」計算!$AL$26:$AX$26,◆入力◆④「1個放水」計算!$AL$30:$AX$30),IF(OR(I22="SGP",I22="フレキ"),LOOKUP(I23,◆入力◆④「1個放水」計算!$AL$37:$AX$37,◆入力◆④「1個放水」計算!$AL$41:$AX$41),IF(I22="SUS",LOOKUP(I23,◆入力◆④「1個放水」計算!$AL$48:$AX$48,◆入力◆④「1個放水」計算!$AL$52:$AX$52),IF(OR(I22="PE",I22="PP"),LOOKUP(I23,◆入力◆④「1個放水」計算!$AL$59:$AX$59,◆入力◆④「1個放水」計算!$AL$64:$AX$64))))))))</f>
        <v>0</v>
      </c>
      <c r="R24" s="100">
        <f t="shared" si="0"/>
        <v>0</v>
      </c>
      <c r="S24" s="101"/>
      <c r="T24" s="92"/>
      <c r="U24" s="147">
        <f>IF($F$55=0,0,◆入力◆④「1個放水」計算!U24)</f>
        <v>0</v>
      </c>
      <c r="V24" s="138">
        <f>IF($F$55=0,0,◆入力◆④「1個放水」計算!V24)</f>
        <v>0</v>
      </c>
      <c r="W24" s="100">
        <f>IF($U24="Yスト",AC24,IF($I22="sgp-vb",AD24,IF($I22="sgp-pb",AE24,IF($I22="hivp",AF24,IF(OR($I22="sgp",$I22="フレキ"),AG24,IF($I22="sus",AH24,IF(OR($I22="PE",$I22="PP"),AI24,0)))))))</f>
        <v>0</v>
      </c>
      <c r="X24" s="82">
        <f t="shared" si="1"/>
        <v>0</v>
      </c>
      <c r="Y24" s="83"/>
      <c r="Z24" s="92">
        <f t="shared" ref="Z24" si="13">ROUNDUP(L23*Y23,2)</f>
        <v>0</v>
      </c>
      <c r="AA24" s="40"/>
      <c r="AB24" s="93"/>
      <c r="AC24" s="90">
        <f>IF(U24="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4" s="90">
        <f>IF($U24="仕切弁",LOOKUP($I23,◆入力◆④「1個放水」計算!$AL$4:$AX$4,◆入力◆④「1個放水」計算!$AL$9:$AX$9),IF($U24="逆止弁",LOOKUP($I23,◆入力◆④「1個放水」計算!$AL$4:$AX$4,◆入力◆④「1個放水」計算!$AL$10:$AX$10),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E24" s="90">
        <f>IF($U24="仕切弁",LOOKUP($I23,◆入力◆④「1個放水」計算!$AL$15:$AX$15,◆入力◆④「1個放水」計算!$AL$20:$AX$20),IF($U24="逆止弁",LOOKUP($I23,◆入力◆④「1個放水」計算!$AL$15:$AX$15,◆入力◆④「1個放水」計算!$AL$21:$AX$21),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F24" s="90">
        <f>IF($U24="仕切弁",LOOKUP($I23,◆入力◆④「1個放水」計算!$AL$26:$AX$26,◆入力◆④「1個放水」計算!$AL$31:$AX$31),IF($U24="逆止弁",LOOKUP($I23,◆入力◆④「1個放水」計算!$AL$26:$AX$26,◆入力◆④「1個放水」計算!$AL$32:$AX$32),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G24" s="90">
        <f>IF($U24="仕切弁",LOOKUP($I23,◆入力◆④「1個放水」計算!$AL$37:$AX$37,◆入力◆④「1個放水」計算!$AL$42:$AX$42),IF($U24="逆止弁",LOOKUP($I23,◆入力◆④「1個放水」計算!$AL$37:$AX$37,◆入力◆④「1個放水」計算!$AL$43:$AX$43),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H24" s="90">
        <f>IF($U24="仕切弁",LOOKUP($I23,◆入力◆④「1個放水」計算!$AL$48:$AX$48,◆入力◆④「1個放水」計算!$AL$53:$AX$53),IF($U24="逆止弁",LOOKUP($I23,◆入力◆④「1個放水」計算!$AL$48:$AX$48,◆入力◆④「1個放水」計算!$AL$54:$AX$54),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I24" s="90">
        <f>IF($U24="仕切弁",LOOKUP($I23,◆入力◆④「1個放水」計算!$AL$59:$AX$59,◆入力◆④「1個放水」計算!$AL$65:$AX$65),IF($U24="逆止弁",LOOKUP($I23,◆入力◆④「1個放水」計算!$AL$59:$AX$59,◆入力◆④「1個放水」計算!$AL$66:$AX$66),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J24" s="144"/>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row>
    <row r="25" spans="6:69" x14ac:dyDescent="0.15">
      <c r="F25" s="235" t="s">
        <v>26</v>
      </c>
      <c r="G25" s="40"/>
      <c r="H25" s="154"/>
      <c r="I25" s="133">
        <f>IF($F$55=0,0,◆入力◆④「1個放水」計算!I25)</f>
        <v>0</v>
      </c>
      <c r="J25" s="121"/>
      <c r="K25" s="148"/>
      <c r="L25" s="95"/>
      <c r="M25" s="135"/>
      <c r="N25" s="85"/>
      <c r="O25" s="77">
        <f>IF(I26=0,0,"E９０°")</f>
        <v>0</v>
      </c>
      <c r="P25" s="136">
        <f>IF($F$55=0,0,◆入力◆④「1個放水」計算!P25)</f>
        <v>0</v>
      </c>
      <c r="Q25" s="78">
        <f>IF(I26=0,0,IF(I25="SGP-VB",LOOKUP(I26,◆入力◆④「1個放水」計算!$AL$4:$AX$4,◆入力◆④「1個放水」計算!$AL$6:$AX$6),IF(I25="SGP-PB",LOOKUP(I26,◆入力◆④「1個放水」計算!$AL$15:$AX$15,◆入力◆④「1個放水」計算!$AL$17:$AX$17),IF(I25="HIVP",LOOKUP(I26,◆入力◆④「1個放水」計算!$AL$26:$AX$26,◆入力◆④「1個放水」計算!$AL$28:$AX$28),IF(OR(I25="SGP",I25="フレキ"),LOOKUP(I26,◆入力◆④「1個放水」計算!$AL$37:$AX$37,◆入力◆④「1個放水」計算!$AL$39:$AX$39),IF(I25="SUS",LOOKUP(I26,◆入力◆④「1個放水」計算!$AL$48:$AX$48,◆入力◆④「1個放水」計算!$AL$50:$AX$50),IF(OR(I25="PE",I25="PP"),LOOKUP(I26,◆入力◆④「1個放水」計算!$AL$59:$AX$59,◆入力◆④「1個放水」計算!$AL$61:$AX$61))))))))</f>
        <v>0</v>
      </c>
      <c r="R25" s="79">
        <f t="shared" si="0"/>
        <v>0</v>
      </c>
      <c r="S25" s="80"/>
      <c r="T25" s="81">
        <v>0</v>
      </c>
      <c r="U25" s="137">
        <f>IF($F$55=0,0,◆入力◆④「1個放水」計算!U25)</f>
        <v>0</v>
      </c>
      <c r="V25" s="136">
        <f>IF($F$55=0,0,◆入力◆④「1個放水」計算!V25)</f>
        <v>0</v>
      </c>
      <c r="W25" s="82">
        <f>IF($U25="Yスト",AC25,IF($I25="sgp-vb",AD25,IF($I25="sgp-pb",AE25,IF($I25="hivp",AF25,IF(OR($I25="sgp",$I25="フレキ"),AG25,IF($I25="sus",AH25,IF(OR($I25="PE",$I25="PP"),AI25,0)))))))</f>
        <v>0</v>
      </c>
      <c r="X25" s="79">
        <f t="shared" si="1"/>
        <v>0</v>
      </c>
      <c r="Y25" s="80"/>
      <c r="Z25" s="84">
        <f t="shared" ref="Z25" si="14">IF(AND($U25="電動弁",$V25=1),LOOKUP($K26,$AL$76:$BQ$76,$AL$77:$BQ$77),IF(AND($U25="逆流防止装置E",$V25=1),LOOKUP($I26,$AN$105:$AQ$105,$AN121:$AQ121),IF(AND($U25="逆流防止装置K",$V25=1),LOOKUP($I26,$AN$105:$AQ$105,$AN122:$AQ122),IF(AND($U25="逆流防止装置T",$V25=1),LOOKUP($I26,$AN$105:$AQ$105,$AN123:$AQ123),0))))</f>
        <v>0</v>
      </c>
      <c r="AA25" s="40"/>
      <c r="AB25" s="76"/>
      <c r="AC25" s="86">
        <f>IF(U25="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5" s="86">
        <f>IF($U25="仕切弁",LOOKUP($I26,◆入力◆④「1個放水」計算!$AL$4:$AX$4,◆入力◆④「1個放水」計算!$AL$9:$AX$9),IF($U25="逆止弁",LOOKUP($I26,◆入力◆④「1個放水」計算!$AL$4:$AX$4,◆入力◆④「1個放水」計算!$AL$10:$AX$10),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E25" s="86">
        <f>IF($U25="仕切弁",LOOKUP($I26,◆入力◆④「1個放水」計算!$AL$15:$AX$15,◆入力◆④「1個放水」計算!$AL$20:$AX$20),IF($U25="逆止弁",LOOKUP($I26,◆入力◆④「1個放水」計算!$AL$15:$AX$15,◆入力◆④「1個放水」計算!$AL$21:$AX$21),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F25" s="86">
        <f>IF($U25="仕切弁",LOOKUP($I26,◆入力◆④「1個放水」計算!$AL$26:$AX$26,◆入力◆④「1個放水」計算!$AL$31:$AX$31),IF($U25="逆止弁",LOOKUP($I26,◆入力◆④「1個放水」計算!$AL$26:$AX$26,◆入力◆④「1個放水」計算!$AL$32:$AX$32),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G25" s="86">
        <f>IF($U25="仕切弁",LOOKUP($I26,◆入力◆④「1個放水」計算!$AL$37:$AX$37,◆入力◆④「1個放水」計算!$AL$42:$AX$42),IF($U25="逆止弁",LOOKUP($I26,◆入力◆④「1個放水」計算!$AL$37:$AX$37,◆入力◆④「1個放水」計算!$AL$43:$AX$43),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H25" s="86">
        <f>IF($U25="仕切弁",LOOKUP($I26,◆入力◆④「1個放水」計算!$AL$48:$AX$48,◆入力◆④「1個放水」計算!$AL$53:$AX$53),IF($U25="逆止弁",LOOKUP($I26,◆入力◆④「1個放水」計算!$AL$48:$AX$48,◆入力◆④「1個放水」計算!$AL$54:$AX$54),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I25" s="86">
        <f>IF($U25="仕切弁",LOOKUP($I26,◆入力◆④「1個放水」計算!$AL$59:$AX$59,◆入力◆④「1個放水」計算!$AL$65:$AX$65),IF($U25="逆止弁",LOOKUP($I26,◆入力◆④「1個放水」計算!$AL$59:$AX$59,◆入力◆④「1個放水」計算!$AL$66:$AX$66),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J25" s="144"/>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row>
    <row r="26" spans="6:69" x14ac:dyDescent="0.15">
      <c r="F26" s="235"/>
      <c r="G26" s="40"/>
      <c r="H26" s="149">
        <f>IF($F$55=0,0,◆入力◆④「1個放水」計算!H26)</f>
        <v>0</v>
      </c>
      <c r="I26" s="140">
        <f>IF($F$55=0,0,◆入力◆④「1個放水」計算!I26)</f>
        <v>0</v>
      </c>
      <c r="J26" s="121"/>
      <c r="K26" s="134">
        <f>IF(I26=0,0,K23)</f>
        <v>0</v>
      </c>
      <c r="L26" s="74">
        <f>IF(I26=0,0,IF(I26&gt;=65,K26^1.85*0.012/I27^4.87,ROUNDUP((0.0126+(0.01739-(0.1087*I27/100))/SQRT(4*K26/(60000*PI()*(I27/100)^2)))*(1/(I27/100))*((4*K26/(60000*PI()*(I27/100)^2))^2/(2*9.8)),4)))</f>
        <v>0</v>
      </c>
      <c r="M26" s="142">
        <f>IF($F$55=0,0,◆入力◆④「1個放水」計算!M26)</f>
        <v>0</v>
      </c>
      <c r="N26" s="84">
        <f>ROUNDUP(L26*M26,2)</f>
        <v>0</v>
      </c>
      <c r="O26" s="87">
        <f>IF(I26=0,0,"Ｔ直")</f>
        <v>0</v>
      </c>
      <c r="P26" s="138">
        <f>IF($F$55=0,0,◆入力◆④「1個放水」計算!P26)</f>
        <v>0</v>
      </c>
      <c r="Q26" s="88">
        <f>IF(I26=0,0,IF(I25="SGP-VB",LOOKUP(I26,◆入力◆④「1個放水」計算!$AL$4:$AX$4,◆入力◆④「1個放水」計算!$AL$7:$AX$7),IF(I25="SGP-PB",LOOKUP(I26,◆入力◆④「1個放水」計算!$AL$15:$AX$15,◆入力◆④「1個放水」計算!$AL$18:$AX$18),IF(I25="HIVP",LOOKUP(I26,◆入力◆④「1個放水」計算!$AL$26:$AX$26,◆入力◆④「1個放水」計算!$AL$29:$AX$29),IF(OR(I25="SGP",I25="フレキ"),LOOKUP(I26,◆入力◆④「1個放水」計算!$AL$37:$AX$37,◆入力◆④「1個放水」計算!$AL$40:$AX$40),IF(I25="SUS",LOOKUP(I26,◆入力◆④「1個放水」計算!$AL$48:$AX$48,◆入力◆④「1個放水」計算!$AL$51:$AX$51),IF(OR(I25="PE",I25="PP"),LOOKUP(I26,◆入力◆④「1個放水」計算!$AL$59:$AX$59,◆入力◆④「1個放水」計算!$AL$63:$AX$63))))))))</f>
        <v>0</v>
      </c>
      <c r="R26" s="82">
        <f t="shared" si="0"/>
        <v>0</v>
      </c>
      <c r="S26" s="83">
        <f>R25+R26+R27</f>
        <v>0</v>
      </c>
      <c r="T26" s="84">
        <f>ROUNDUP(L26*S26,2)</f>
        <v>0</v>
      </c>
      <c r="U26" s="143">
        <f>IF($F$55=0,0,◆入力◆④「1個放水」計算!U26)</f>
        <v>0</v>
      </c>
      <c r="V26" s="138">
        <f>IF($F$55=0,0,◆入力◆④「1個放水」計算!V26)</f>
        <v>0</v>
      </c>
      <c r="W26" s="82">
        <f>IF($U26="Yスト",AC26,IF($I25="sgp-vb",AD26,IF($I25="sgp-pb",AE26,IF($I25="hivp",AF26,IF(OR($I25="sgp",$I25="フレキ"),AG26,IF($I25="sus",AH26,IF(OR($I25="PE",$I25="PP"),AI26,0)))))))</f>
        <v>0</v>
      </c>
      <c r="X26" s="82">
        <f t="shared" si="1"/>
        <v>0</v>
      </c>
      <c r="Y26" s="83">
        <f>SUM(X25:X27)</f>
        <v>0</v>
      </c>
      <c r="Z26" s="84">
        <f t="shared" ref="Z26" si="15">IF(AND($U26="電動弁",$V26=1),LOOKUP($K26,$AL$76:$BQ$76,$AL$77:$BQ$77),IF(AND($U26="逆流防止装置E",$V26=1),LOOKUP($I26,$AN$105:$AQ$105,$AN121:$AQ121),IF(AND($U26="逆流防止装置K",$V26=1),LOOKUP($I26,$AN$105:$AQ$105,$AN122:$AQ122),IF(AND($U26="逆流防止装置T",$V26=1),LOOKUP($I26,$AN$105:$AQ$105,$AN123:$AQ123),0))))</f>
        <v>0</v>
      </c>
      <c r="AA26" s="40"/>
      <c r="AB26" s="84">
        <f>N26+T26+Z25+Z26+Z27</f>
        <v>0</v>
      </c>
      <c r="AC26" s="89">
        <f>IF(U26="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6" s="90">
        <f>IF($U26="仕切弁",LOOKUP($I26,◆入力◆④「1個放水」計算!$AL$4:$AX$4,◆入力◆④「1個放水」計算!$AL$9:$AX$9),IF($U26="逆止弁",LOOKUP($I26,◆入力◆④「1個放水」計算!$AL$4:$AX$4,◆入力◆④「1個放水」計算!$AL$10:$AX$10),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E26" s="90">
        <f>IF($U26="仕切弁",LOOKUP($I26,◆入力◆④「1個放水」計算!$AL$15:$AX$15,◆入力◆④「1個放水」計算!$AL$20:$AX$20),IF($U26="逆止弁",LOOKUP($I26,◆入力◆④「1個放水」計算!$AL$15:$AX$15,◆入力◆④「1個放水」計算!$AL$21:$AX$21),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F26" s="90">
        <f>IF($U26="仕切弁",LOOKUP($I26,◆入力◆④「1個放水」計算!$AL$26:$AX$26,◆入力◆④「1個放水」計算!$AL$31:$AX$31),IF($U26="逆止弁",LOOKUP($I26,◆入力◆④「1個放水」計算!$AL$26:$AX$26,◆入力◆④「1個放水」計算!$AL$32:$AX$32),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G26" s="90">
        <f>IF($U26="仕切弁",LOOKUP($I26,◆入力◆④「1個放水」計算!$AL$37:$AX$37,◆入力◆④「1個放水」計算!$AL$42:$AX$42),IF($U26="逆止弁",LOOKUP($I26,◆入力◆④「1個放水」計算!$AL$37:$AX$37,◆入力◆④「1個放水」計算!$AL$43:$AX$43),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H26" s="90">
        <f>IF($U26="仕切弁",LOOKUP($I26,◆入力◆④「1個放水」計算!$AL$48:$AX$48,◆入力◆④「1個放水」計算!$AL$53:$AX$53),IF($U26="逆止弁",LOOKUP($I26,◆入力◆④「1個放水」計算!$AL$48:$AX$48,◆入力◆④「1個放水」計算!$AL$54:$AX$54),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I26" s="90">
        <f>IF($U26="仕切弁",LOOKUP($I26,◆入力◆④「1個放水」計算!$AL$59:$AX$59,◆入力◆④「1個放水」計算!$AL$65:$AX$65),IF($U26="逆止弁",LOOKUP($I26,◆入力◆④「1個放水」計算!$AL$59:$AX$59,◆入力◆④「1個放水」計算!$AL$66:$AX$66),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J26" s="144"/>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row>
    <row r="27" spans="6:69" x14ac:dyDescent="0.15">
      <c r="F27" s="235"/>
      <c r="G27" s="40"/>
      <c r="H27" s="149"/>
      <c r="I27" s="146" t="b">
        <f>IF(I26="",0,IF(I25="SGP-VB",LOOKUP(I26,◆入力◆④「1個放水」計算!$AL$4:$AX$4,◆入力◆④「1個放水」計算!$AL$5:$AX$5),IF(I25="SGP-PB",LOOKUP(I26,◆入力◆④「1個放水」計算!$AL$15:$AX$15,◆入力◆④「1個放水」計算!$AL$16:$AX$16),IF(I25="HIVP",LOOKUP(I26,◆入力◆④「1個放水」計算!$AL$26:$AX$26,◆入力◆④「1個放水」計算!$AL$27:$AX$27),IF(OR(I25="SGP",I25="フレキ"),LOOKUP(I26,◆入力◆④「1個放水」計算!$AL$37:$AX$37,◆入力◆④「1個放水」計算!$AL$38:$AX$38),IF(I25="SUS",LOOKUP(I26,◆入力◆④「1個放水」計算!$AL$48:$AX$48,◆入力◆④「1個放水」計算!$AL$49:$AX$49),IF(OR(I25="PE",I25="PP"),LOOKUP(I26,◆入力◆④「1個放水」計算!$AL$59:$AX$59,◆入力◆④「1個放水」計算!$AL$60:$AX$60))))))))</f>
        <v>0</v>
      </c>
      <c r="J27" s="121"/>
      <c r="K27" s="150"/>
      <c r="L27" s="98"/>
      <c r="M27" s="151"/>
      <c r="N27" s="93"/>
      <c r="O27" s="87">
        <f>IF(I26=0,0,"Ｔ分")</f>
        <v>0</v>
      </c>
      <c r="P27" s="152">
        <f>IF($F$55=0,0,◆入力◆④「1個放水」計算!P27)</f>
        <v>0</v>
      </c>
      <c r="Q27" s="88">
        <f>IF(I26=0,0,IF(I25="SGP-VB",LOOKUP(I26,◆入力◆④「1個放水」計算!$AL$4:$AX$4,◆入力◆④「1個放水」計算!$AL$8:$AX$8),IF(I25="SGP-PB",LOOKUP(I26,◆入力◆④「1個放水」計算!$AL$15:$AX$15,◆入力◆④「1個放水」計算!$AL$19:$AX$19),IF(I25="HIVP",LOOKUP(I26,◆入力◆④「1個放水」計算!$AL$26:$AX$26,◆入力◆④「1個放水」計算!$AL$30:$AX$30),IF(OR(I25="SGP",I25="フレキ"),LOOKUP(I26,◆入力◆④「1個放水」計算!$AL$37:$AX$37,◆入力◆④「1個放水」計算!$AL$41:$AX$41),IF(I25="SUS",LOOKUP(I26,◆入力◆④「1個放水」計算!$AL$48:$AX$48,◆入力◆④「1個放水」計算!$AL$52:$AX$52),IF(OR(I25="PE",I25="PP"),LOOKUP(I26,◆入力◆④「1個放水」計算!$AL$59:$AX$59,◆入力◆④「1個放水」計算!$AL$64:$AX$64))))))))</f>
        <v>0</v>
      </c>
      <c r="R27" s="100">
        <f t="shared" si="0"/>
        <v>0</v>
      </c>
      <c r="S27" s="101"/>
      <c r="T27" s="92"/>
      <c r="U27" s="147">
        <f>IF($F$55=0,0,◆入力◆④「1個放水」計算!U27)</f>
        <v>0</v>
      </c>
      <c r="V27" s="152">
        <f>IF($F$55=0,0,◆入力◆④「1個放水」計算!V27)</f>
        <v>0</v>
      </c>
      <c r="W27" s="100">
        <f>IF($U27="Yスト",AC27,IF($I25="sgp-vb",AD27,IF($I25="sgp-pb",AE27,IF($I25="hivp",AF27,IF(OR($I25="sgp",$I25="フレキ"),AG27,IF($I25="sus",AH27,IF(OR($I25="PE",$I25="PP"),AI27,0)))))))</f>
        <v>0</v>
      </c>
      <c r="X27" s="100">
        <f t="shared" si="1"/>
        <v>0</v>
      </c>
      <c r="Y27" s="101"/>
      <c r="Z27" s="92">
        <f t="shared" ref="Z27" si="16">ROUNDUP(L26*Y26,2)</f>
        <v>0</v>
      </c>
      <c r="AA27" s="40"/>
      <c r="AB27" s="76"/>
      <c r="AC27" s="90">
        <f>IF(U27="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7" s="90">
        <f>IF($U27="仕切弁",LOOKUP($I26,◆入力◆④「1個放水」計算!$AL$4:$AX$4,◆入力◆④「1個放水」計算!$AL$9:$AX$9),IF($U27="逆止弁",LOOKUP($I26,◆入力◆④「1個放水」計算!$AL$4:$AX$4,◆入力◆④「1個放水」計算!$AL$10:$AX$10),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E27" s="90">
        <f>IF($U27="仕切弁",LOOKUP($I26,◆入力◆④「1個放水」計算!$AL$15:$AX$15,◆入力◆④「1個放水」計算!$AL$20:$AX$20),IF($U27="逆止弁",LOOKUP($I26,◆入力◆④「1個放水」計算!$AL$15:$AX$15,◆入力◆④「1個放水」計算!$AL$21:$AX$21),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F27" s="90">
        <f>IF($U27="仕切弁",LOOKUP($I26,◆入力◆④「1個放水」計算!$AL$26:$AX$26,◆入力◆④「1個放水」計算!$AL$31:$AX$31),IF($U27="逆止弁",LOOKUP($I26,◆入力◆④「1個放水」計算!$AL$26:$AX$26,◆入力◆④「1個放水」計算!$AL$32:$AX$32),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G27" s="90">
        <f>IF($U27="仕切弁",LOOKUP($I26,◆入力◆④「1個放水」計算!$AL$37:$AX$37,◆入力◆④「1個放水」計算!$AL$42:$AX$42),IF($U27="逆止弁",LOOKUP($I26,◆入力◆④「1個放水」計算!$AL$37:$AX$37,◆入力◆④「1個放水」計算!$AL$43:$AX$43),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H27" s="90">
        <f>IF($U27="仕切弁",LOOKUP($I26,◆入力◆④「1個放水」計算!$AL$48:$AX$48,◆入力◆④「1個放水」計算!$AL$53:$AX$53),IF($U27="逆止弁",LOOKUP($I26,◆入力◆④「1個放水」計算!$AL$48:$AX$48,◆入力◆④「1個放水」計算!$AL$54:$AX$54),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I27" s="90">
        <f>IF($U27="仕切弁",LOOKUP($I26,◆入力◆④「1個放水」計算!$AL$59:$AX$59,◆入力◆④「1個放水」計算!$AL$65:$AX$65),IF($U27="逆止弁",LOOKUP($I26,◆入力◆④「1個放水」計算!$AL$59:$AX$59,◆入力◆④「1個放水」計算!$AL$66:$AX$66),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J27" s="144"/>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row>
    <row r="28" spans="6:69" x14ac:dyDescent="0.15">
      <c r="F28" s="235" t="s">
        <v>27</v>
      </c>
      <c r="G28" s="40"/>
      <c r="H28" s="132"/>
      <c r="I28" s="133">
        <f>IF($F$55=0,0,◆入力◆④「1個放水」計算!I28)</f>
        <v>0</v>
      </c>
      <c r="J28" s="121"/>
      <c r="K28" s="134"/>
      <c r="L28" s="74"/>
      <c r="M28" s="142"/>
      <c r="N28" s="76"/>
      <c r="O28" s="77">
        <f>IF(I29=0,0,"E９０°")</f>
        <v>0</v>
      </c>
      <c r="P28" s="136">
        <f>IF($F$55=0,0,◆入力◆④「1個放水」計算!P28)</f>
        <v>0</v>
      </c>
      <c r="Q28" s="78">
        <f>IF(I29=0,0,IF(I28="SGP-VB",LOOKUP(I29,◆入力◆④「1個放水」計算!$AL$4:$AX$4,◆入力◆④「1個放水」計算!$AL$6:$AX$6),IF(I28="SGP-PB",LOOKUP(I29,◆入力◆④「1個放水」計算!$AL$15:$AX$15,◆入力◆④「1個放水」計算!$AL$17:$AX$17),IF(I28="HIVP",LOOKUP(I29,◆入力◆④「1個放水」計算!$AL$26:$AX$26,◆入力◆④「1個放水」計算!$AL$28:$AX$28),IF(OR(I28="SGP",I28="フレキ"),LOOKUP(I29,◆入力◆④「1個放水」計算!$AL$37:$AX$37,◆入力◆④「1個放水」計算!$AL$39:$AX$39),IF(I28="SUS",LOOKUP(I29,◆入力◆④「1個放水」計算!$AL$48:$AX$48,◆入力◆④「1個放水」計算!$AL$50:$AX$50),IF(OR(I28="PE",I28="PP"),LOOKUP(I29,◆入力◆④「1個放水」計算!$AL$59:$AX$59,◆入力◆④「1個放水」計算!$AL$61:$AX$61))))))))</f>
        <v>0</v>
      </c>
      <c r="R28" s="79">
        <f t="shared" si="0"/>
        <v>0</v>
      </c>
      <c r="S28" s="80"/>
      <c r="T28" s="81">
        <v>0</v>
      </c>
      <c r="U28" s="137">
        <f>IF($F$55=0,0,◆入力◆④「1個放水」計算!U28)</f>
        <v>0</v>
      </c>
      <c r="V28" s="138">
        <f>IF($F$55=0,0,◆入力◆④「1個放水」計算!V28)</f>
        <v>0</v>
      </c>
      <c r="W28" s="82">
        <f>IF($U28="Yスト",AC28,IF($I28="sgp-vb",AD28,IF($I28="sgp-pb",AE28,IF($I28="hivp",AF28,IF(OR($I28="sgp",$I28="フレキ"),AG28,IF($I28="sus",AH28,IF(OR($I28="PE",$I28="PP"),AI28,0)))))))</f>
        <v>0</v>
      </c>
      <c r="X28" s="82">
        <f t="shared" si="1"/>
        <v>0</v>
      </c>
      <c r="Y28" s="83"/>
      <c r="Z28" s="84">
        <f t="shared" ref="Z28" si="17">IF(AND($U28="電動弁",$V28=1),LOOKUP($K29,$AL$76:$BQ$76,$AL$77:$BQ$77),IF(AND($U28="逆流防止装置E",$V28=1),LOOKUP($I29,$AN$105:$AQ$105,$AN124:$AQ124),IF(AND($U28="逆流防止装置K",$V28=1),LOOKUP($I29,$AN$105:$AQ$105,$AN125:$AQ125),IF(AND($U28="逆流防止装置T",$V28=1),LOOKUP($I29,$AN$105:$AQ$105,$AN126:$AQ126),0))))</f>
        <v>0</v>
      </c>
      <c r="AA28" s="40"/>
      <c r="AB28" s="85"/>
      <c r="AC28" s="86">
        <f>IF(U28="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28" s="86">
        <f>IF($U28="仕切弁",LOOKUP($I29,◆入力◆④「1個放水」計算!$AL$4:$AX$4,◆入力◆④「1個放水」計算!$AL$9:$AX$9),IF($U28="逆止弁",LOOKUP($I29,◆入力◆④「1個放水」計算!$AL$4:$AX$4,◆入力◆④「1個放水」計算!$AL$10:$AX$10),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E28" s="86">
        <f>IF($U28="仕切弁",LOOKUP($I29,◆入力◆④「1個放水」計算!$AL$15:$AX$15,◆入力◆④「1個放水」計算!$AL$20:$AX$20),IF($U28="逆止弁",LOOKUP($I29,◆入力◆④「1個放水」計算!$AL$15:$AX$15,◆入力◆④「1個放水」計算!$AL$21:$AX$21),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F28" s="86">
        <f>IF($U28="仕切弁",LOOKUP($I29,◆入力◆④「1個放水」計算!$AL$26:$AX$26,◆入力◆④「1個放水」計算!$AL$31:$AX$31),IF($U28="逆止弁",LOOKUP($I29,◆入力◆④「1個放水」計算!$AL$26:$AX$26,◆入力◆④「1個放水」計算!$AL$32:$AX$32),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G28" s="86">
        <f>IF($U28="仕切弁",LOOKUP($I29,◆入力◆④「1個放水」計算!$AL$37:$AX$37,◆入力◆④「1個放水」計算!$AL$42:$AX$42),IF($U28="逆止弁",LOOKUP($I29,◆入力◆④「1個放水」計算!$AL$37:$AX$37,◆入力◆④「1個放水」計算!$AL$43:$AX$43),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H28" s="86">
        <f>IF($U28="仕切弁",LOOKUP($I29,◆入力◆④「1個放水」計算!$AL$48:$AX$48,◆入力◆④「1個放水」計算!$AL$53:$AX$53),IF($U28="逆止弁",LOOKUP($I29,◆入力◆④「1個放水」計算!$AL$48:$AX$48,◆入力◆④「1個放水」計算!$AL$54:$AX$54),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I28" s="86">
        <f>IF($U28="仕切弁",LOOKUP($I29,◆入力◆④「1個放水」計算!$AL$59:$AX$59,◆入力◆④「1個放水」計算!$AL$65:$AX$65),IF($U28="逆止弁",LOOKUP($I29,◆入力◆④「1個放水」計算!$AL$59:$AX$59,◆入力◆④「1個放水」計算!$AL$66:$AX$66),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J28" s="144"/>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row>
    <row r="29" spans="6:69" x14ac:dyDescent="0.15">
      <c r="F29" s="235"/>
      <c r="G29" s="40"/>
      <c r="H29" s="149">
        <f>IF($F$55=0,0,◆入力◆④「1個放水」計算!H29)</f>
        <v>0</v>
      </c>
      <c r="I29" s="140">
        <f>IF($F$55=0,0,◆入力◆④「1個放水」計算!I29)</f>
        <v>0</v>
      </c>
      <c r="J29" s="121"/>
      <c r="K29" s="134">
        <f>IF(I29=0,0,K26)</f>
        <v>0</v>
      </c>
      <c r="L29" s="74">
        <f>IF(I29=0,0,IF(I29&gt;=65,K29^1.85*0.012/I30^4.87,ROUNDUP((0.0126+(0.01739-(0.1087*I30/100))/SQRT(4*K29/(60000*PI()*(I30/100)^2)))*(1/(I30/100))*((4*K29/(60000*PI()*(I30/100)^2))^2/(2*9.8)),4)))</f>
        <v>0</v>
      </c>
      <c r="M29" s="142">
        <f>IF($F$55=0,0,◆入力◆④「1個放水」計算!M29)</f>
        <v>0</v>
      </c>
      <c r="N29" s="84">
        <f>ROUNDUP(L29*M29,2)</f>
        <v>0</v>
      </c>
      <c r="O29" s="87">
        <f>IF(I29=0,0,"Ｔ直")</f>
        <v>0</v>
      </c>
      <c r="P29" s="138">
        <f>IF($F$55=0,0,◆入力◆④「1個放水」計算!P29)</f>
        <v>0</v>
      </c>
      <c r="Q29" s="88">
        <f>IF(I29=0,0,IF(I28="SGP-VB",LOOKUP(I29,◆入力◆④「1個放水」計算!$AL$4:$AX$4,◆入力◆④「1個放水」計算!$AL$7:$AX$7),IF(I28="SGP-PB",LOOKUP(I29,◆入力◆④「1個放水」計算!$AL$15:$AX$15,◆入力◆④「1個放水」計算!$AL$18:$AX$18),IF(I28="HIVP",LOOKUP(I29,◆入力◆④「1個放水」計算!$AL$26:$AX$26,◆入力◆④「1個放水」計算!$AL$29:$AX$29),IF(OR(I28="SGP",I28="フレキ"),LOOKUP(I29,◆入力◆④「1個放水」計算!$AL$37:$AX$37,◆入力◆④「1個放水」計算!$AL$40:$AX$40),IF(I28="SUS",LOOKUP(I29,◆入力◆④「1個放水」計算!$AL$48:$AX$48,◆入力◆④「1個放水」計算!$AL$51:$AX$51),IF(OR(I28="PE",I28="PP"),LOOKUP(I29,◆入力◆④「1個放水」計算!$AL$59:$AX$59,◆入力◆④「1個放水」計算!$AL$63:$AX$63))))))))</f>
        <v>0</v>
      </c>
      <c r="R29" s="82">
        <f t="shared" si="0"/>
        <v>0</v>
      </c>
      <c r="S29" s="83">
        <f>R28+R29+R30</f>
        <v>0</v>
      </c>
      <c r="T29" s="84">
        <f>ROUNDUP(L29*S29,2)</f>
        <v>0</v>
      </c>
      <c r="U29" s="143">
        <f>IF($F$55=0,0,◆入力◆④「1個放水」計算!U29)</f>
        <v>0</v>
      </c>
      <c r="V29" s="138">
        <f>IF($F$55=0,0,◆入力◆④「1個放水」計算!V29)</f>
        <v>0</v>
      </c>
      <c r="W29" s="82">
        <f>IF($U29="Yスト",AC29,IF($I28="sgp-vb",AD29,IF($I28="sgp-pb",AE29,IF($I28="hivp",AF29,IF(OR($I28="sgp",$I28="フレキ"),AG29,IF($I28="sus",AH29,IF(OR($I28="PE",$I28="PP"),AI29,0)))))))</f>
        <v>0</v>
      </c>
      <c r="X29" s="82">
        <f t="shared" si="1"/>
        <v>0</v>
      </c>
      <c r="Y29" s="83">
        <f>SUM(X28:X30)</f>
        <v>0</v>
      </c>
      <c r="Z29" s="84">
        <f t="shared" ref="Z29" si="18">IF(AND($U29="電動弁",$V29=1),LOOKUP($K29,$AL$76:$BQ$76,$AL$77:$BQ$77),IF(AND($U29="逆流防止装置E",$V29=1),LOOKUP($I29,$AN$105:$AQ$105,$AN124:$AQ124),IF(AND($U29="逆流防止装置K",$V29=1),LOOKUP($I29,$AN$105:$AQ$105,$AN125:$AQ125),IF(AND($U29="逆流防止装置T",$V29=1),LOOKUP($I29,$AN$105:$AQ$105,$AN126:$AQ126),0))))</f>
        <v>0</v>
      </c>
      <c r="AA29" s="40"/>
      <c r="AB29" s="84">
        <f>N29+T29+Z28+Z29+Z30</f>
        <v>0</v>
      </c>
      <c r="AC29" s="89">
        <f>IF(U29="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29" s="90">
        <f>IF($U29="仕切弁",LOOKUP($I29,◆入力◆④「1個放水」計算!$AL$4:$AX$4,◆入力◆④「1個放水」計算!$AL$9:$AX$9),IF($U29="逆止弁",LOOKUP($I29,◆入力◆④「1個放水」計算!$AL$4:$AX$4,◆入力◆④「1個放水」計算!$AL$10:$AX$10),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E29" s="90">
        <f>IF($U29="仕切弁",LOOKUP($I29,◆入力◆④「1個放水」計算!$AL$15:$AX$15,◆入力◆④「1個放水」計算!$AL$20:$AX$20),IF($U29="逆止弁",LOOKUP($I29,◆入力◆④「1個放水」計算!$AL$15:$AX$15,◆入力◆④「1個放水」計算!$AL$21:$AX$21),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F29" s="90">
        <f>IF($U29="仕切弁",LOOKUP($I29,◆入力◆④「1個放水」計算!$AL$26:$AX$26,◆入力◆④「1個放水」計算!$AL$31:$AX$31),IF($U29="逆止弁",LOOKUP($I29,◆入力◆④「1個放水」計算!$AL$26:$AX$26,◆入力◆④「1個放水」計算!$AL$32:$AX$32),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G29" s="90">
        <f>IF($U29="仕切弁",LOOKUP($I29,◆入力◆④「1個放水」計算!$AL$37:$AX$37,◆入力◆④「1個放水」計算!$AL$42:$AX$42),IF($U29="逆止弁",LOOKUP($I29,◆入力◆④「1個放水」計算!$AL$37:$AX$37,◆入力◆④「1個放水」計算!$AL$43:$AX$43),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H29" s="90">
        <f>IF($U29="仕切弁",LOOKUP($I29,◆入力◆④「1個放水」計算!$AL$48:$AX$48,◆入力◆④「1個放水」計算!$AL$53:$AX$53),IF($U29="逆止弁",LOOKUP($I29,◆入力◆④「1個放水」計算!$AL$48:$AX$48,◆入力◆④「1個放水」計算!$AL$54:$AX$54),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I29" s="90">
        <f>IF($U29="仕切弁",LOOKUP($I29,◆入力◆④「1個放水」計算!$AL$59:$AX$59,◆入力◆④「1個放水」計算!$AL$65:$AX$65),IF($U29="逆止弁",LOOKUP($I29,◆入力◆④「1個放水」計算!$AL$59:$AX$59,◆入力◆④「1個放水」計算!$AL$66:$AX$66),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J29" s="144"/>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row>
    <row r="30" spans="6:69" x14ac:dyDescent="0.15">
      <c r="F30" s="235"/>
      <c r="G30" s="40"/>
      <c r="H30" s="145"/>
      <c r="I30" s="146" t="b">
        <f>IF(I29="",0,IF(I28="SGP-VB",LOOKUP(I29,◆入力◆④「1個放水」計算!$AL$4:$AX$4,◆入力◆④「1個放水」計算!$AL$5:$AX$5),IF(I28="SGP-PB",LOOKUP(I29,◆入力◆④「1個放水」計算!$AL$15:$AX$15,◆入力◆④「1個放水」計算!$AL$16:$AX$16),IF(I28="HIVP",LOOKUP(I29,◆入力◆④「1個放水」計算!$AL$26:$AX$26,◆入力◆④「1個放水」計算!$AL$27:$AX$27),IF(OR(I28="SGP",I28="フレキ"),LOOKUP(I29,◆入力◆④「1個放水」計算!$AL$37:$AX$37,◆入力◆④「1個放水」計算!$AL$38:$AX$38),IF(I28="SUS",LOOKUP(I29,◆入力◆④「1個放水」計算!$AL$48:$AX$48,◆入力◆④「1個放水」計算!$AL$49:$AX$49),IF(OR(I28="PE",I28="PP"),LOOKUP(I29,◆入力◆④「1個放水」計算!$AL$59:$AX$59,◆入力◆④「1個放水」計算!$AL$60:$AX$60))))))))</f>
        <v>0</v>
      </c>
      <c r="J30" s="121"/>
      <c r="K30" s="134"/>
      <c r="L30" s="74"/>
      <c r="M30" s="142"/>
      <c r="N30" s="76"/>
      <c r="O30" s="87">
        <f>IF(I29=0,0,"Ｔ分")</f>
        <v>0</v>
      </c>
      <c r="P30" s="152">
        <f>IF($F$55=0,0,◆入力◆④「1個放水」計算!P30)</f>
        <v>0</v>
      </c>
      <c r="Q30" s="88">
        <f>IF(I29=0,0,IF(I28="SGP-VB",LOOKUP(I29,◆入力◆④「1個放水」計算!$AL$4:$AX$4,◆入力◆④「1個放水」計算!$AL$8:$AX$8),IF(I28="SGP-PB",LOOKUP(I29,◆入力◆④「1個放水」計算!$AL$15:$AX$15,◆入力◆④「1個放水」計算!$AL$19:$AX$19),IF(I28="HIVP",LOOKUP(I29,◆入力◆④「1個放水」計算!$AL$26:$AX$26,◆入力◆④「1個放水」計算!$AL$30:$AX$30),IF(OR(I28="SGP",I28="フレキ"),LOOKUP(I29,◆入力◆④「1個放水」計算!$AL$37:$AX$37,◆入力◆④「1個放水」計算!$AL$41:$AX$41),IF(I28="SUS",LOOKUP(I29,◆入力◆④「1個放水」計算!$AL$48:$AX$48,◆入力◆④「1個放水」計算!$AL$52:$AX$52),IF(OR(I28="PE",I28="PP"),LOOKUP(I29,◆入力◆④「1個放水」計算!$AL$59:$AX$59,◆入力◆④「1個放水」計算!$AL$64:$AX$64))))))))</f>
        <v>0</v>
      </c>
      <c r="R30" s="100">
        <f t="shared" si="0"/>
        <v>0</v>
      </c>
      <c r="S30" s="101"/>
      <c r="T30" s="92"/>
      <c r="U30" s="147">
        <f>IF($F$55=0,0,◆入力◆④「1個放水」計算!U30)</f>
        <v>0</v>
      </c>
      <c r="V30" s="138">
        <f>IF($F$55=0,0,◆入力◆④「1個放水」計算!V30)</f>
        <v>0</v>
      </c>
      <c r="W30" s="100">
        <f>IF($U30="Yスト",AC30,IF($I28="sgp-vb",AD30,IF($I28="sgp-pb",AE30,IF($I28="hivp",AF30,IF(OR($I28="sgp",$I28="フレキ"),AG30,IF($I28="sus",AH30,IF(OR($I28="PE",$I28="PP"),AI30,0)))))))</f>
        <v>0</v>
      </c>
      <c r="X30" s="82">
        <f t="shared" si="1"/>
        <v>0</v>
      </c>
      <c r="Y30" s="83"/>
      <c r="Z30" s="92">
        <f t="shared" ref="Z30" si="19">ROUNDUP(L29*Y29,2)</f>
        <v>0</v>
      </c>
      <c r="AA30" s="40"/>
      <c r="AB30" s="93"/>
      <c r="AC30" s="90">
        <f>IF(U30="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30" s="90">
        <f>IF($U30="仕切弁",LOOKUP($I29,◆入力◆④「1個放水」計算!$AL$4:$AX$4,◆入力◆④「1個放水」計算!$AL$9:$AX$9),IF($U30="逆止弁",LOOKUP($I29,◆入力◆④「1個放水」計算!$AL$4:$AX$4,◆入力◆④「1個放水」計算!$AL$10:$AX$10),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E30" s="90">
        <f>IF($U30="仕切弁",LOOKUP($I29,◆入力◆④「1個放水」計算!$AL$15:$AX$15,◆入力◆④「1個放水」計算!$AL$20:$AX$20),IF($U30="逆止弁",LOOKUP($I29,◆入力◆④「1個放水」計算!$AL$15:$AX$15,◆入力◆④「1個放水」計算!$AL$21:$AX$21),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F30" s="90">
        <f>IF($U30="仕切弁",LOOKUP($I29,◆入力◆④「1個放水」計算!$AL$26:$AX$26,◆入力◆④「1個放水」計算!$AL$31:$AX$31),IF($U30="逆止弁",LOOKUP($I29,◆入力◆④「1個放水」計算!$AL$26:$AX$26,◆入力◆④「1個放水」計算!$AL$32:$AX$32),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G30" s="90">
        <f>IF($U30="仕切弁",LOOKUP($I29,◆入力◆④「1個放水」計算!$AL$37:$AX$37,◆入力◆④「1個放水」計算!$AL$42:$AX$42),IF($U30="逆止弁",LOOKUP($I29,◆入力◆④「1個放水」計算!$AL$37:$AX$37,◆入力◆④「1個放水」計算!$AL$43:$AX$43),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H30" s="90">
        <f>IF($U30="仕切弁",LOOKUP($I29,◆入力◆④「1個放水」計算!$AL$48:$AX$48,◆入力◆④「1個放水」計算!$AL$53:$AX$53),IF($U30="逆止弁",LOOKUP($I29,◆入力◆④「1個放水」計算!$AL$48:$AX$48,◆入力◆④「1個放水」計算!$AL$54:$AX$54),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I30" s="90">
        <f>IF($U30="仕切弁",LOOKUP($I29,◆入力◆④「1個放水」計算!$AL$59:$AX$59,◆入力◆④「1個放水」計算!$AL$65:$AX$65),IF($U30="逆止弁",LOOKUP($I29,◆入力◆④「1個放水」計算!$AL$59:$AX$59,◆入力◆④「1個放水」計算!$AL$66:$AX$66),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J30" s="144"/>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row>
    <row r="31" spans="6:69" x14ac:dyDescent="0.15">
      <c r="F31" s="235" t="s">
        <v>28</v>
      </c>
      <c r="G31" s="40"/>
      <c r="H31" s="154"/>
      <c r="I31" s="133">
        <f>IF($F$55=0,0,◆入力◆④「1個放水」計算!I31)</f>
        <v>0</v>
      </c>
      <c r="J31" s="121"/>
      <c r="K31" s="148"/>
      <c r="L31" s="95"/>
      <c r="M31" s="135"/>
      <c r="N31" s="85"/>
      <c r="O31" s="77">
        <f>IF(I32=0,0,"E９０°")</f>
        <v>0</v>
      </c>
      <c r="P31" s="136">
        <f>IF($F$55=0,0,◆入力◆④「1個放水」計算!P31)</f>
        <v>0</v>
      </c>
      <c r="Q31" s="78">
        <f>IF(I32=0,0,IF(I31="SGP-VB",LOOKUP(I32,◆入力◆④「1個放水」計算!$AL$4:$AX$4,◆入力◆④「1個放水」計算!$AL$6:$AX$6),IF(I31="SGP-PB",LOOKUP(I32,◆入力◆④「1個放水」計算!$AL$15:$AX$15,◆入力◆④「1個放水」計算!$AL$17:$AX$17),IF(I31="HIVP",LOOKUP(I32,◆入力◆④「1個放水」計算!$AL$26:$AX$26,◆入力◆④「1個放水」計算!$AL$28:$AX$28),IF(OR(I31="SGP",I31="フレキ"),LOOKUP(I32,◆入力◆④「1個放水」計算!$AL$37:$AX$37,◆入力◆④「1個放水」計算!$AL$39:$AX$39),IF(I31="SUS",LOOKUP(I32,◆入力◆④「1個放水」計算!$AL$48:$AX$48,◆入力◆④「1個放水」計算!$AL$50:$AX$50),IF(OR(I31="PE",I31="PP"),LOOKUP(I32,◆入力◆④「1個放水」計算!$AL$59:$AX$59,◆入力◆④「1個放水」計算!$AL$61:$AX$61))))))))</f>
        <v>0</v>
      </c>
      <c r="R31" s="79">
        <f t="shared" si="0"/>
        <v>0</v>
      </c>
      <c r="S31" s="80"/>
      <c r="T31" s="81">
        <v>0</v>
      </c>
      <c r="U31" s="137">
        <f>IF($F$55=0,0,◆入力◆④「1個放水」計算!U31)</f>
        <v>0</v>
      </c>
      <c r="V31" s="136">
        <f>IF($F$55=0,0,◆入力◆④「1個放水」計算!V31)</f>
        <v>0</v>
      </c>
      <c r="W31" s="82">
        <f>IF($U31="Yスト",AC31,IF($I31="sgp-vb",AD31,IF($I31="sgp-pb",AE31,IF($I31="hivp",AF31,IF(OR($I31="sgp",$I31="フレキ"),AG31,IF($I31="sus",AH31,IF(OR($I31="PE",$I31="PP"),AI31,0)))))))</f>
        <v>0</v>
      </c>
      <c r="X31" s="79">
        <f t="shared" si="1"/>
        <v>0</v>
      </c>
      <c r="Y31" s="80"/>
      <c r="Z31" s="84">
        <f t="shared" ref="Z31" si="20">IF(AND($U31="電動弁",$V31=1),LOOKUP($K32,$AL$76:$BQ$76,$AL$77:$BQ$77),IF(AND($U31="逆流防止装置E",$V31=1),LOOKUP($I32,$AN$105:$AQ$105,$AN127:$AQ127),IF(AND($U31="逆流防止装置K",$V31=1),LOOKUP($I32,$AN$105:$AQ$105,$AN128:$AQ128),IF(AND($U31="逆流防止装置T",$V31=1),LOOKUP($I32,$AN$105:$AQ$105,$AN129:$AQ129),0))))</f>
        <v>0</v>
      </c>
      <c r="AA31" s="40"/>
      <c r="AB31" s="76"/>
      <c r="AC31" s="86">
        <f>IF(U31="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1" s="86">
        <f>IF($U31="仕切弁",LOOKUP($I32,◆入力◆④「1個放水」計算!$AL$4:$AX$4,◆入力◆④「1個放水」計算!$AL$9:$AX$9),IF($U31="逆止弁",LOOKUP($I32,◆入力◆④「1個放水」計算!$AL$4:$AX$4,◆入力◆④「1個放水」計算!$AL$10:$AX$10),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E31" s="86">
        <f>IF($U31="仕切弁",LOOKUP($I32,◆入力◆④「1個放水」計算!$AL$15:$AX$15,◆入力◆④「1個放水」計算!$AL$20:$AX$20),IF($U31="逆止弁",LOOKUP($I32,◆入力◆④「1個放水」計算!$AL$15:$AX$15,◆入力◆④「1個放水」計算!$AL$21:$AX$21),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F31" s="86">
        <f>IF($U31="仕切弁",LOOKUP($I32,◆入力◆④「1個放水」計算!$AL$26:$AX$26,◆入力◆④「1個放水」計算!$AL$31:$AX$31),IF($U31="逆止弁",LOOKUP($I32,◆入力◆④「1個放水」計算!$AL$26:$AX$26,◆入力◆④「1個放水」計算!$AL$32:$AX$32),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G31" s="86">
        <f>IF($U31="仕切弁",LOOKUP($I32,◆入力◆④「1個放水」計算!$AL$37:$AX$37,◆入力◆④「1個放水」計算!$AL$42:$AX$42),IF($U31="逆止弁",LOOKUP($I32,◆入力◆④「1個放水」計算!$AL$37:$AX$37,◆入力◆④「1個放水」計算!$AL$43:$AX$43),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H31" s="86">
        <f>IF($U31="仕切弁",LOOKUP($I32,◆入力◆④「1個放水」計算!$AL$48:$AX$48,◆入力◆④「1個放水」計算!$AL$53:$AX$53),IF($U31="逆止弁",LOOKUP($I32,◆入力◆④「1個放水」計算!$AL$48:$AX$48,◆入力◆④「1個放水」計算!$AL$54:$AX$54),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I31" s="86">
        <f>IF($U31="仕切弁",LOOKUP($I32,◆入力◆④「1個放水」計算!$AL$59:$AX$59,◆入力◆④「1個放水」計算!$AL$65:$AX$65),IF($U31="逆止弁",LOOKUP($I32,◆入力◆④「1個放水」計算!$AL$59:$AX$59,◆入力◆④「1個放水」計算!$AL$66:$AX$66),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J31" s="115"/>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row>
    <row r="32" spans="6:69" x14ac:dyDescent="0.15">
      <c r="F32" s="235"/>
      <c r="G32" s="40"/>
      <c r="H32" s="149">
        <f>IF($F$55=0,0,◆入力◆④「1個放水」計算!H32)</f>
        <v>0</v>
      </c>
      <c r="I32" s="140">
        <f>IF($F$55=0,0,◆入力◆④「1個放水」計算!I32)</f>
        <v>0</v>
      </c>
      <c r="J32" s="121"/>
      <c r="K32" s="134">
        <f>IF(I32=0,0,K29)</f>
        <v>0</v>
      </c>
      <c r="L32" s="74">
        <f>IF(I32=0,0,IF(I32&gt;=65,K32^1.85*0.012/I33^4.87,ROUNDUP((0.0126+(0.01739-(0.1087*I33/100))/SQRT(4*K32/(60000*PI()*(I33/100)^2)))*(1/(I33/100))*((4*K32/(60000*PI()*(I33/100)^2))^2/(2*9.8)),4)))</f>
        <v>0</v>
      </c>
      <c r="M32" s="142">
        <f>IF($F$55=0,0,◆入力◆④「1個放水」計算!M32)</f>
        <v>0</v>
      </c>
      <c r="N32" s="84">
        <f>ROUNDUP(L32*M32,2)</f>
        <v>0</v>
      </c>
      <c r="O32" s="87">
        <f>IF(I32=0,0,"Ｔ直")</f>
        <v>0</v>
      </c>
      <c r="P32" s="138">
        <f>IF($F$55=0,0,◆入力◆④「1個放水」計算!P32)</f>
        <v>0</v>
      </c>
      <c r="Q32" s="88">
        <f>IF(I32=0,0,IF(I31="SGP-VB",LOOKUP(I32,◆入力◆④「1個放水」計算!$AL$4:$AX$4,◆入力◆④「1個放水」計算!$AL$7:$AX$7),IF(I31="SGP-PB",LOOKUP(I32,◆入力◆④「1個放水」計算!$AL$15:$AX$15,◆入力◆④「1個放水」計算!$AL$18:$AX$18),IF(I31="HIVP",LOOKUP(I32,◆入力◆④「1個放水」計算!$AL$26:$AX$26,◆入力◆④「1個放水」計算!$AL$29:$AX$29),IF(OR(I31="SGP",I31="フレキ"),LOOKUP(I32,◆入力◆④「1個放水」計算!$AL$37:$AX$37,◆入力◆④「1個放水」計算!$AL$40:$AX$40),IF(I31="SUS",LOOKUP(I32,◆入力◆④「1個放水」計算!$AL$48:$AX$48,◆入力◆④「1個放水」計算!$AL$51:$AX$51),IF(OR(I31="PE",I31="PP"),LOOKUP(I32,◆入力◆④「1個放水」計算!$AL$59:$AX$59,◆入力◆④「1個放水」計算!$AL$63:$AX$63))))))))</f>
        <v>0</v>
      </c>
      <c r="R32" s="82">
        <f t="shared" si="0"/>
        <v>0</v>
      </c>
      <c r="S32" s="83">
        <f>R31+R32+R33</f>
        <v>0</v>
      </c>
      <c r="T32" s="84">
        <f>ROUNDUP(L32*S32,2)</f>
        <v>0</v>
      </c>
      <c r="U32" s="143">
        <f>IF($F$55=0,0,◆入力◆④「1個放水」計算!U32)</f>
        <v>0</v>
      </c>
      <c r="V32" s="138">
        <f>IF($F$55=0,0,◆入力◆④「1個放水」計算!V32)</f>
        <v>0</v>
      </c>
      <c r="W32" s="82">
        <f>IF($U32="Yスト",AC32,IF($I31="sgp-vb",AD32,IF($I31="sgp-pb",AE32,IF($I31="hivp",AF32,IF(OR($I31="sgp",$I31="フレキ"),AG32,IF($I31="sus",AH32,IF(OR($I31="PE",$I31="PP"),AI32,0)))))))</f>
        <v>0</v>
      </c>
      <c r="X32" s="82">
        <f t="shared" si="1"/>
        <v>0</v>
      </c>
      <c r="Y32" s="83">
        <f>SUM(X31:X33)</f>
        <v>0</v>
      </c>
      <c r="Z32" s="84">
        <f t="shared" ref="Z32" si="21">IF(AND($U32="電動弁",$V32=1),LOOKUP($K32,$AL$76:$BQ$76,$AL$77:$BQ$77),IF(AND($U32="逆流防止装置E",$V32=1),LOOKUP($I32,$AN$105:$AQ$105,$AN127:$AQ127),IF(AND($U32="逆流防止装置K",$V32=1),LOOKUP($I32,$AN$105:$AQ$105,$AN128:$AQ128),IF(AND($U32="逆流防止装置T",$V32=1),LOOKUP($I32,$AN$105:$AQ$105,$AN129:$AQ129),0))))</f>
        <v>0</v>
      </c>
      <c r="AA32" s="40"/>
      <c r="AB32" s="84">
        <f>N32+T32+Z31+Z32+Z33</f>
        <v>0</v>
      </c>
      <c r="AC32" s="89">
        <f>IF(U32="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2" s="90">
        <f>IF($U32="仕切弁",LOOKUP($I32,◆入力◆④「1個放水」計算!$AL$4:$AX$4,◆入力◆④「1個放水」計算!$AL$9:$AX$9),IF($U32="逆止弁",LOOKUP($I32,◆入力◆④「1個放水」計算!$AL$4:$AX$4,◆入力◆④「1個放水」計算!$AL$10:$AX$10),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E32" s="90">
        <f>IF($U32="仕切弁",LOOKUP($I32,◆入力◆④「1個放水」計算!$AL$15:$AX$15,◆入力◆④「1個放水」計算!$AL$20:$AX$20),IF($U32="逆止弁",LOOKUP($I32,◆入力◆④「1個放水」計算!$AL$15:$AX$15,◆入力◆④「1個放水」計算!$AL$21:$AX$21),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F32" s="90">
        <f>IF($U32="仕切弁",LOOKUP($I32,◆入力◆④「1個放水」計算!$AL$26:$AX$26,◆入力◆④「1個放水」計算!$AL$31:$AX$31),IF($U32="逆止弁",LOOKUP($I32,◆入力◆④「1個放水」計算!$AL$26:$AX$26,◆入力◆④「1個放水」計算!$AL$32:$AX$32),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G32" s="90">
        <f>IF($U32="仕切弁",LOOKUP($I32,◆入力◆④「1個放水」計算!$AL$37:$AX$37,◆入力◆④「1個放水」計算!$AL$42:$AX$42),IF($U32="逆止弁",LOOKUP($I32,◆入力◆④「1個放水」計算!$AL$37:$AX$37,◆入力◆④「1個放水」計算!$AL$43:$AX$43),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H32" s="90">
        <f>IF($U32="仕切弁",LOOKUP($I32,◆入力◆④「1個放水」計算!$AL$48:$AX$48,◆入力◆④「1個放水」計算!$AL$53:$AX$53),IF($U32="逆止弁",LOOKUP($I32,◆入力◆④「1個放水」計算!$AL$48:$AX$48,◆入力◆④「1個放水」計算!$AL$54:$AX$54),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I32" s="90">
        <f>IF($U32="仕切弁",LOOKUP($I32,◆入力◆④「1個放水」計算!$AL$59:$AX$59,◆入力◆④「1個放水」計算!$AL$65:$AX$65),IF($U32="逆止弁",LOOKUP($I32,◆入力◆④「1個放水」計算!$AL$59:$AX$59,◆入力◆④「1個放水」計算!$AL$66:$AX$66),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J32" s="115"/>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row>
    <row r="33" spans="6:69" x14ac:dyDescent="0.15">
      <c r="F33" s="235"/>
      <c r="G33" s="40"/>
      <c r="H33" s="149"/>
      <c r="I33" s="146" t="b">
        <f>IF(I32="",0,IF(I31="SGP-VB",LOOKUP(I32,◆入力◆④「1個放水」計算!$AL$4:$AX$4,◆入力◆④「1個放水」計算!$AL$5:$AX$5),IF(I31="SGP-PB",LOOKUP(I32,◆入力◆④「1個放水」計算!$AL$15:$AX$15,◆入力◆④「1個放水」計算!$AL$16:$AX$16),IF(I31="HIVP",LOOKUP(I32,◆入力◆④「1個放水」計算!$AL$26:$AX$26,◆入力◆④「1個放水」計算!$AL$27:$AX$27),IF(OR(I31="SGP",I31="フレキ"),LOOKUP(I32,◆入力◆④「1個放水」計算!$AL$37:$AX$37,◆入力◆④「1個放水」計算!$AL$38:$AX$38),IF(I31="SUS",LOOKUP(I32,◆入力◆④「1個放水」計算!$AL$48:$AX$48,◆入力◆④「1個放水」計算!$AL$49:$AX$49),IF(OR(I31="PE",I31="PP"),LOOKUP(I32,◆入力◆④「1個放水」計算!$AL$59:$AX$59,◆入力◆④「1個放水」計算!$AL$60:$AX$60))))))))</f>
        <v>0</v>
      </c>
      <c r="J33" s="121"/>
      <c r="K33" s="150"/>
      <c r="L33" s="98"/>
      <c r="M33" s="151"/>
      <c r="N33" s="93"/>
      <c r="O33" s="87">
        <f>IF(I32=0,0,"Ｔ分")</f>
        <v>0</v>
      </c>
      <c r="P33" s="152">
        <f>IF($F$55=0,0,◆入力◆④「1個放水」計算!P33)</f>
        <v>0</v>
      </c>
      <c r="Q33" s="88">
        <f>IF(I32=0,0,IF(I31="SGP-VB",LOOKUP(I32,◆入力◆④「1個放水」計算!$AL$4:$AX$4,◆入力◆④「1個放水」計算!$AL$8:$AX$8),IF(I31="SGP-PB",LOOKUP(I32,◆入力◆④「1個放水」計算!$AL$15:$AX$15,◆入力◆④「1個放水」計算!$AL$19:$AX$19),IF(I31="HIVP",LOOKUP(I32,◆入力◆④「1個放水」計算!$AL$26:$AX$26,◆入力◆④「1個放水」計算!$AL$30:$AX$30),IF(OR(I31="SGP",I31="フレキ"),LOOKUP(I32,◆入力◆④「1個放水」計算!$AL$37:$AX$37,◆入力◆④「1個放水」計算!$AL$41:$AX$41),IF(I31="SUS",LOOKUP(I32,◆入力◆④「1個放水」計算!$AL$48:$AX$48,◆入力◆④「1個放水」計算!$AL$52:$AX$52),IF(OR(I31="PE",I31="PP"),LOOKUP(I32,◆入力◆④「1個放水」計算!$AL$59:$AX$59,◆入力◆④「1個放水」計算!$AL$64:$AX$64))))))))</f>
        <v>0</v>
      </c>
      <c r="R33" s="100">
        <f t="shared" si="0"/>
        <v>0</v>
      </c>
      <c r="S33" s="101"/>
      <c r="T33" s="92"/>
      <c r="U33" s="147">
        <f>IF($F$55=0,0,◆入力◆④「1個放水」計算!U33)</f>
        <v>0</v>
      </c>
      <c r="V33" s="152">
        <f>IF($F$55=0,0,◆入力◆④「1個放水」計算!V33)</f>
        <v>0</v>
      </c>
      <c r="W33" s="100">
        <f>IF($U33="Yスト",AC33,IF($I31="sgp-vb",AD33,IF($I31="sgp-pb",AE33,IF($I31="hivp",AF33,IF(OR($I31="sgp",$I31="フレキ"),AG33,IF($I31="sus",AH33,IF(OR($I31="PE",$I31="PP"),AI33,0)))))))</f>
        <v>0</v>
      </c>
      <c r="X33" s="100">
        <f t="shared" si="1"/>
        <v>0</v>
      </c>
      <c r="Y33" s="101"/>
      <c r="Z33" s="92">
        <f t="shared" ref="Z33" si="22">ROUNDUP(L32*Y32,2)</f>
        <v>0</v>
      </c>
      <c r="AA33" s="40"/>
      <c r="AB33" s="76"/>
      <c r="AC33" s="90">
        <f>IF(U33="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3" s="90">
        <f>IF($U33="仕切弁",LOOKUP($I32,◆入力◆④「1個放水」計算!$AL$4:$AX$4,◆入力◆④「1個放水」計算!$AL$9:$AX$9),IF($U33="逆止弁",LOOKUP($I32,◆入力◆④「1個放水」計算!$AL$4:$AX$4,◆入力◆④「1個放水」計算!$AL$10:$AX$10),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E33" s="90">
        <f>IF($U33="仕切弁",LOOKUP($I32,◆入力◆④「1個放水」計算!$AL$15:$AX$15,◆入力◆④「1個放水」計算!$AL$20:$AX$20),IF($U33="逆止弁",LOOKUP($I32,◆入力◆④「1個放水」計算!$AL$15:$AX$15,◆入力◆④「1個放水」計算!$AL$21:$AX$21),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F33" s="90">
        <f>IF($U33="仕切弁",LOOKUP($I32,◆入力◆④「1個放水」計算!$AL$26:$AX$26,◆入力◆④「1個放水」計算!$AL$31:$AX$31),IF($U33="逆止弁",LOOKUP($I32,◆入力◆④「1個放水」計算!$AL$26:$AX$26,◆入力◆④「1個放水」計算!$AL$32:$AX$32),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G33" s="90">
        <f>IF($U33="仕切弁",LOOKUP($I32,◆入力◆④「1個放水」計算!$AL$37:$AX$37,◆入力◆④「1個放水」計算!$AL$42:$AX$42),IF($U33="逆止弁",LOOKUP($I32,◆入力◆④「1個放水」計算!$AL$37:$AX$37,◆入力◆④「1個放水」計算!$AL$43:$AX$43),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H33" s="90">
        <f>IF($U33="仕切弁",LOOKUP($I32,◆入力◆④「1個放水」計算!$AL$48:$AX$48,◆入力◆④「1個放水」計算!$AL$53:$AX$53),IF($U33="逆止弁",LOOKUP($I32,◆入力◆④「1個放水」計算!$AL$48:$AX$48,◆入力◆④「1個放水」計算!$AL$54:$AX$54),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I33" s="90">
        <f>IF($U33="仕切弁",LOOKUP($I32,◆入力◆④「1個放水」計算!$AL$59:$AX$59,◆入力◆④「1個放水」計算!$AL$65:$AX$65),IF($U33="逆止弁",LOOKUP($I32,◆入力◆④「1個放水」計算!$AL$59:$AX$59,◆入力◆④「1個放水」計算!$AL$66:$AX$66),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J33" s="115"/>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row>
    <row r="34" spans="6:69" x14ac:dyDescent="0.15">
      <c r="F34" s="235" t="s">
        <v>29</v>
      </c>
      <c r="G34" s="40"/>
      <c r="H34" s="132"/>
      <c r="I34" s="133">
        <f>IF($F$55=0,0,◆入力◆④「1個放水」計算!I34)</f>
        <v>0</v>
      </c>
      <c r="J34" s="121"/>
      <c r="K34" s="134"/>
      <c r="L34" s="74"/>
      <c r="M34" s="142"/>
      <c r="N34" s="76"/>
      <c r="O34" s="77">
        <f>IF(I35=0,0,"E９０°")</f>
        <v>0</v>
      </c>
      <c r="P34" s="136">
        <f>IF($F$55=0,0,◆入力◆④「1個放水」計算!P34)</f>
        <v>0</v>
      </c>
      <c r="Q34" s="78">
        <f>IF(I35=0,0,IF(I34="SGP-VB",LOOKUP(I35,◆入力◆④「1個放水」計算!$AL$4:$AX$4,◆入力◆④「1個放水」計算!$AL$6:$AX$6),IF(I34="SGP-PB",LOOKUP(I35,◆入力◆④「1個放水」計算!$AL$15:$AX$15,◆入力◆④「1個放水」計算!$AL$17:$AX$17),IF(I34="HIVP",LOOKUP(I35,◆入力◆④「1個放水」計算!$AL$26:$AX$26,◆入力◆④「1個放水」計算!$AL$28:$AX$28),IF(OR(I34="SGP",I34="フレキ"),LOOKUP(I35,◆入力◆④「1個放水」計算!$AL$37:$AX$37,◆入力◆④「1個放水」計算!$AL$39:$AX$39),IF(I34="SUS",LOOKUP(I35,◆入力◆④「1個放水」計算!$AL$48:$AX$48,◆入力◆④「1個放水」計算!$AL$50:$AX$50),IF(OR(I34="PE",I34="PP"),LOOKUP(I35,◆入力◆④「1個放水」計算!$AL$59:$AX$59,◆入力◆④「1個放水」計算!$AL$61:$AX$61))))))))</f>
        <v>0</v>
      </c>
      <c r="R34" s="79">
        <f t="shared" si="0"/>
        <v>0</v>
      </c>
      <c r="S34" s="80"/>
      <c r="T34" s="81">
        <v>0</v>
      </c>
      <c r="U34" s="137">
        <f>IF($F$55=0,0,◆入力◆④「1個放水」計算!U34)</f>
        <v>0</v>
      </c>
      <c r="V34" s="138">
        <f>IF($F$55=0,0,◆入力◆④「1個放水」計算!V34)</f>
        <v>0</v>
      </c>
      <c r="W34" s="82">
        <f>IF($U34="Yスト",AC34,IF($I34="sgp-vb",AD34,IF($I34="sgp-pb",AE34,IF($I34="hivp",AF34,IF(OR($I34="sgp",$I34="フレキ"),AG34,IF($I34="sus",AH34,IF(OR($I34="PE",$I34="PP"),AI34,0)))))))</f>
        <v>0</v>
      </c>
      <c r="X34" s="82">
        <f t="shared" si="1"/>
        <v>0</v>
      </c>
      <c r="Y34" s="83"/>
      <c r="Z34" s="84">
        <f t="shared" ref="Z34" si="23">IF(AND($U34="電動弁",$V34=1),LOOKUP($K35,$AL$76:$BQ$76,$AL$77:$BQ$77),IF(AND($U34="逆流防止装置E",$V34=1),LOOKUP($I35,$AN$105:$AQ$105,$AN130:$AQ130),IF(AND($U34="逆流防止装置K",$V34=1),LOOKUP($I35,$AN$105:$AQ$105,$AN131:$AQ131),IF(AND($U34="逆流防止装置T",$V34=1),LOOKUP($I35,$AN$105:$AQ$105,$AN132:$AQ132),0))))</f>
        <v>0</v>
      </c>
      <c r="AA34" s="40"/>
      <c r="AB34" s="85"/>
      <c r="AC34" s="86">
        <f>IF(U34="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4" s="86">
        <f>IF($U34="仕切弁",LOOKUP($I35,◆入力◆④「1個放水」計算!$AL$4:$AX$4,◆入力◆④「1個放水」計算!$AL$9:$AX$9),IF($U34="逆止弁",LOOKUP($I35,◆入力◆④「1個放水」計算!$AL$4:$AX$4,◆入力◆④「1個放水」計算!$AL$10:$AX$10),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E34" s="86">
        <f>IF($U34="仕切弁",LOOKUP($I35,◆入力◆④「1個放水」計算!$AL$15:$AX$15,◆入力◆④「1個放水」計算!$AL$20:$AX$20),IF($U34="逆止弁",LOOKUP($I35,◆入力◆④「1個放水」計算!$AL$15:$AX$15,◆入力◆④「1個放水」計算!$AL$21:$AX$21),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F34" s="86">
        <f>IF($U34="仕切弁",LOOKUP($I35,◆入力◆④「1個放水」計算!$AL$26:$AX$26,◆入力◆④「1個放水」計算!$AL$31:$AX$31),IF($U34="逆止弁",LOOKUP($I35,◆入力◆④「1個放水」計算!$AL$26:$AX$26,◆入力◆④「1個放水」計算!$AL$32:$AX$32),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G34" s="86">
        <f>IF($U34="仕切弁",LOOKUP($I35,◆入力◆④「1個放水」計算!$AL$37:$AX$37,◆入力◆④「1個放水」計算!$AL$42:$AX$42),IF($U34="逆止弁",LOOKUP($I35,◆入力◆④「1個放水」計算!$AL$37:$AX$37,◆入力◆④「1個放水」計算!$AL$43:$AX$43),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H34" s="86">
        <f>IF($U34="仕切弁",LOOKUP($I35,◆入力◆④「1個放水」計算!$AL$48:$AX$48,◆入力◆④「1個放水」計算!$AL$53:$AX$53),IF($U34="逆止弁",LOOKUP($I35,◆入力◆④「1個放水」計算!$AL$48:$AX$48,◆入力◆④「1個放水」計算!$AL$54:$AX$54),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I34" s="86">
        <f>IF($U34="仕切弁",LOOKUP($I35,◆入力◆④「1個放水」計算!$AL$59:$AX$59,◆入力◆④「1個放水」計算!$AL$65:$AX$65),IF($U34="逆止弁",LOOKUP($I35,◆入力◆④「1個放水」計算!$AL$59:$AX$59,◆入力◆④「1個放水」計算!$AL$66:$AX$66),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J34" s="115"/>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row>
    <row r="35" spans="6:69" x14ac:dyDescent="0.15">
      <c r="F35" s="235"/>
      <c r="G35" s="40"/>
      <c r="H35" s="149">
        <f>IF($F$55=0,0,◆入力◆④「1個放水」計算!H35)</f>
        <v>0</v>
      </c>
      <c r="I35" s="140">
        <f>IF($F$55=0,0,◆入力◆④「1個放水」計算!I35)</f>
        <v>0</v>
      </c>
      <c r="J35" s="121"/>
      <c r="K35" s="134">
        <f>IF(I35=0,0,K32)</f>
        <v>0</v>
      </c>
      <c r="L35" s="74">
        <f>IF(I35=0,0,IF(I35&gt;=65,K35^1.85*0.012/I36^4.87,ROUNDUP((0.0126+(0.01739-(0.1087*I36/100))/SQRT(4*K35/(60000*PI()*(I36/100)^2)))*(1/(I36/100))*((4*K35/(60000*PI()*(I36/100)^2))^2/(2*9.8)),4)))</f>
        <v>0</v>
      </c>
      <c r="M35" s="142">
        <f>IF($F$55=0,0,◆入力◆④「1個放水」計算!M35)</f>
        <v>0</v>
      </c>
      <c r="N35" s="84">
        <f>ROUNDUP(L35*M35,2)</f>
        <v>0</v>
      </c>
      <c r="O35" s="87">
        <f>IF(I35=0,0,"Ｔ直")</f>
        <v>0</v>
      </c>
      <c r="P35" s="138">
        <f>IF($F$55=0,0,◆入力◆④「1個放水」計算!P35)</f>
        <v>0</v>
      </c>
      <c r="Q35" s="88">
        <f>IF(I35=0,0,IF(I34="SGP-VB",LOOKUP(I35,◆入力◆④「1個放水」計算!$AL$4:$AX$4,◆入力◆④「1個放水」計算!$AL$7:$AX$7),IF(I34="SGP-PB",LOOKUP(I35,◆入力◆④「1個放水」計算!$AL$15:$AX$15,◆入力◆④「1個放水」計算!$AL$18:$AX$18),IF(I34="HIVP",LOOKUP(I35,◆入力◆④「1個放水」計算!$AL$26:$AX$26,◆入力◆④「1個放水」計算!$AL$29:$AX$29),IF(OR(I34="SGP",I34="フレキ"),LOOKUP(I35,◆入力◆④「1個放水」計算!$AL$37:$AX$37,◆入力◆④「1個放水」計算!$AL$40:$AX$40),IF(I34="SUS",LOOKUP(I35,◆入力◆④「1個放水」計算!$AL$48:$AX$48,◆入力◆④「1個放水」計算!$AL$51:$AX$51),IF(OR(I34="PE",I34="PP"),LOOKUP(I35,◆入力◆④「1個放水」計算!$AL$59:$AX$59,◆入力◆④「1個放水」計算!$AL$63:$AX$63))))))))</f>
        <v>0</v>
      </c>
      <c r="R35" s="82">
        <f t="shared" si="0"/>
        <v>0</v>
      </c>
      <c r="S35" s="83">
        <f>R34+R35+R36</f>
        <v>0</v>
      </c>
      <c r="T35" s="84">
        <f>ROUNDUP(L35*S35,2)</f>
        <v>0</v>
      </c>
      <c r="U35" s="143">
        <f>IF($F$55=0,0,◆入力◆④「1個放水」計算!U35)</f>
        <v>0</v>
      </c>
      <c r="V35" s="138">
        <f>IF($F$55=0,0,◆入力◆④「1個放水」計算!V35)</f>
        <v>0</v>
      </c>
      <c r="W35" s="82">
        <f>IF($U35="Yスト",AC35,IF($I34="sgp-vb",AD35,IF($I34="sgp-pb",AE35,IF($I34="hivp",AF35,IF(OR($I34="sgp",$I34="フレキ"),AG35,IF($I34="sus",AH35,IF(OR($I34="PE",$I34="PP"),AI35,0)))))))</f>
        <v>0</v>
      </c>
      <c r="X35" s="82">
        <f t="shared" si="1"/>
        <v>0</v>
      </c>
      <c r="Y35" s="83">
        <f>SUM(X34:X36)</f>
        <v>0</v>
      </c>
      <c r="Z35" s="84">
        <f t="shared" ref="Z35" si="24">IF(AND($U35="電動弁",$V35=1),LOOKUP($K35,$AL$76:$BQ$76,$AL$77:$BQ$77),IF(AND($U35="逆流防止装置E",$V35=1),LOOKUP($I35,$AN$105:$AQ$105,$AN130:$AQ130),IF(AND($U35="逆流防止装置K",$V35=1),LOOKUP($I35,$AN$105:$AQ$105,$AN131:$AQ131),IF(AND($U35="逆流防止装置T",$V35=1),LOOKUP($I35,$AN$105:$AQ$105,$AN132:$AQ132),0))))</f>
        <v>0</v>
      </c>
      <c r="AA35" s="40"/>
      <c r="AB35" s="84">
        <f>N35+T35+Z34+Z35+Z36</f>
        <v>0</v>
      </c>
      <c r="AC35" s="89">
        <f>IF(U35="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5" s="90">
        <f>IF($U35="仕切弁",LOOKUP($I35,◆入力◆④「1個放水」計算!$AL$4:$AX$4,◆入力◆④「1個放水」計算!$AL$9:$AX$9),IF($U35="逆止弁",LOOKUP($I35,◆入力◆④「1個放水」計算!$AL$4:$AX$4,◆入力◆④「1個放水」計算!$AL$10:$AX$10),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E35" s="90">
        <f>IF($U35="仕切弁",LOOKUP($I35,◆入力◆④「1個放水」計算!$AL$15:$AX$15,◆入力◆④「1個放水」計算!$AL$20:$AX$20),IF($U35="逆止弁",LOOKUP($I35,◆入力◆④「1個放水」計算!$AL$15:$AX$15,◆入力◆④「1個放水」計算!$AL$21:$AX$21),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F35" s="90">
        <f>IF($U35="仕切弁",LOOKUP($I35,◆入力◆④「1個放水」計算!$AL$26:$AX$26,◆入力◆④「1個放水」計算!$AL$31:$AX$31),IF($U35="逆止弁",LOOKUP($I35,◆入力◆④「1個放水」計算!$AL$26:$AX$26,◆入力◆④「1個放水」計算!$AL$32:$AX$32),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G35" s="90">
        <f>IF($U35="仕切弁",LOOKUP($I35,◆入力◆④「1個放水」計算!$AL$37:$AX$37,◆入力◆④「1個放水」計算!$AL$42:$AX$42),IF($U35="逆止弁",LOOKUP($I35,◆入力◆④「1個放水」計算!$AL$37:$AX$37,◆入力◆④「1個放水」計算!$AL$43:$AX$43),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H35" s="90">
        <f>IF($U35="仕切弁",LOOKUP($I35,◆入力◆④「1個放水」計算!$AL$48:$AX$48,◆入力◆④「1個放水」計算!$AL$53:$AX$53),IF($U35="逆止弁",LOOKUP($I35,◆入力◆④「1個放水」計算!$AL$48:$AX$48,◆入力◆④「1個放水」計算!$AL$54:$AX$54),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I35" s="90">
        <f>IF($U35="仕切弁",LOOKUP($I35,◆入力◆④「1個放水」計算!$AL$59:$AX$59,◆入力◆④「1個放水」計算!$AL$65:$AX$65),IF($U35="逆止弁",LOOKUP($I35,◆入力◆④「1個放水」計算!$AL$59:$AX$59,◆入力◆④「1個放水」計算!$AL$66:$AX$66),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J35" s="115"/>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row>
    <row r="36" spans="6:69" x14ac:dyDescent="0.15">
      <c r="F36" s="235"/>
      <c r="G36" s="40"/>
      <c r="H36" s="145"/>
      <c r="I36" s="146" t="b">
        <f>IF(I35="",0,IF(I34="SGP-VB",LOOKUP(I35,◆入力◆④「1個放水」計算!$AL$4:$AX$4,◆入力◆④「1個放水」計算!$AL$5:$AX$5),IF(I34="SGP-PB",LOOKUP(I35,◆入力◆④「1個放水」計算!$AL$15:$AX$15,◆入力◆④「1個放水」計算!$AL$16:$AX$16),IF(I34="HIVP",LOOKUP(I35,◆入力◆④「1個放水」計算!$AL$26:$AX$26,◆入力◆④「1個放水」計算!$AL$27:$AX$27),IF(OR(I34="SGP",I34="フレキ"),LOOKUP(I35,◆入力◆④「1個放水」計算!$AL$37:$AX$37,◆入力◆④「1個放水」計算!$AL$38:$AX$38),IF(I34="SUS",LOOKUP(I35,◆入力◆④「1個放水」計算!$AL$48:$AX$48,◆入力◆④「1個放水」計算!$AL$49:$AX$49),IF(OR(I34="PE",I34="PP"),LOOKUP(I35,◆入力◆④「1個放水」計算!$AL$59:$AX$59,◆入力◆④「1個放水」計算!$AL$60:$AX$60))))))))</f>
        <v>0</v>
      </c>
      <c r="J36" s="121"/>
      <c r="K36" s="134"/>
      <c r="L36" s="74"/>
      <c r="M36" s="142"/>
      <c r="N36" s="76"/>
      <c r="O36" s="87">
        <f>IF(I35=0,0,"Ｔ分")</f>
        <v>0</v>
      </c>
      <c r="P36" s="152">
        <f>IF($F$55=0,0,◆入力◆④「1個放水」計算!P36)</f>
        <v>0</v>
      </c>
      <c r="Q36" s="88">
        <f>IF(I35=0,0,IF(I34="SGP-VB",LOOKUP(I35,◆入力◆④「1個放水」計算!$AL$4:$AX$4,◆入力◆④「1個放水」計算!$AL$8:$AX$8),IF(I34="SGP-PB",LOOKUP(I35,◆入力◆④「1個放水」計算!$AL$15:$AX$15,◆入力◆④「1個放水」計算!$AL$19:$AX$19),IF(I34="HIVP",LOOKUP(I35,◆入力◆④「1個放水」計算!$AL$26:$AX$26,◆入力◆④「1個放水」計算!$AL$30:$AX$30),IF(OR(I34="SGP",I34="フレキ"),LOOKUP(I35,◆入力◆④「1個放水」計算!$AL$37:$AX$37,◆入力◆④「1個放水」計算!$AL$41:$AX$41),IF(I34="SUS",LOOKUP(I35,◆入力◆④「1個放水」計算!$AL$48:$AX$48,◆入力◆④「1個放水」計算!$AL$52:$AX$52),IF(OR(I34="PE",I34="PP"),LOOKUP(I35,◆入力◆④「1個放水」計算!$AL$59:$AX$59,◆入力◆④「1個放水」計算!$AL$64:$AX$64))))))))</f>
        <v>0</v>
      </c>
      <c r="R36" s="100">
        <f t="shared" si="0"/>
        <v>0</v>
      </c>
      <c r="S36" s="101"/>
      <c r="T36" s="92"/>
      <c r="U36" s="147">
        <f>IF($F$55=0,0,◆入力◆④「1個放水」計算!U36)</f>
        <v>0</v>
      </c>
      <c r="V36" s="138">
        <f>IF($F$55=0,0,◆入力◆④「1個放水」計算!V36)</f>
        <v>0</v>
      </c>
      <c r="W36" s="100">
        <f>IF($U36="Yスト",AC36,IF($I34="sgp-vb",AD36,IF($I34="sgp-pb",AE36,IF($I34="hivp",AF36,IF(OR($I34="sgp",$I34="フレキ"),AG36,IF($I34="sus",AH36,IF(OR($I34="PE",$I34="PP"),AI36,0)))))))</f>
        <v>0</v>
      </c>
      <c r="X36" s="82">
        <f t="shared" si="1"/>
        <v>0</v>
      </c>
      <c r="Y36" s="83"/>
      <c r="Z36" s="92">
        <f t="shared" ref="Z36" si="25">ROUNDUP(L35*Y35,2)</f>
        <v>0</v>
      </c>
      <c r="AA36" s="40"/>
      <c r="AB36" s="93"/>
      <c r="AC36" s="90">
        <f>IF(U36="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6" s="90">
        <f>IF($U36="仕切弁",LOOKUP($I35,◆入力◆④「1個放水」計算!$AL$4:$AX$4,◆入力◆④「1個放水」計算!$AL$9:$AX$9),IF($U36="逆止弁",LOOKUP($I35,◆入力◆④「1個放水」計算!$AL$4:$AX$4,◆入力◆④「1個放水」計算!$AL$10:$AX$10),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E36" s="90">
        <f>IF($U36="仕切弁",LOOKUP($I35,◆入力◆④「1個放水」計算!$AL$15:$AX$15,◆入力◆④「1個放水」計算!$AL$20:$AX$20),IF($U36="逆止弁",LOOKUP($I35,◆入力◆④「1個放水」計算!$AL$15:$AX$15,◆入力◆④「1個放水」計算!$AL$21:$AX$21),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F36" s="90">
        <f>IF($U36="仕切弁",LOOKUP($I35,◆入力◆④「1個放水」計算!$AL$26:$AX$26,◆入力◆④「1個放水」計算!$AL$31:$AX$31),IF($U36="逆止弁",LOOKUP($I35,◆入力◆④「1個放水」計算!$AL$26:$AX$26,◆入力◆④「1個放水」計算!$AL$32:$AX$32),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G36" s="90">
        <f>IF($U36="仕切弁",LOOKUP($I35,◆入力◆④「1個放水」計算!$AL$37:$AX$37,◆入力◆④「1個放水」計算!$AL$42:$AX$42),IF($U36="逆止弁",LOOKUP($I35,◆入力◆④「1個放水」計算!$AL$37:$AX$37,◆入力◆④「1個放水」計算!$AL$43:$AX$43),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H36" s="90">
        <f>IF($U36="仕切弁",LOOKUP($I35,◆入力◆④「1個放水」計算!$AL$48:$AX$48,◆入力◆④「1個放水」計算!$AL$53:$AX$53),IF($U36="逆止弁",LOOKUP($I35,◆入力◆④「1個放水」計算!$AL$48:$AX$48,◆入力◆④「1個放水」計算!$AL$54:$AX$54),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I36" s="90">
        <f>IF($U36="仕切弁",LOOKUP($I35,◆入力◆④「1個放水」計算!$AL$59:$AX$59,◆入力◆④「1個放水」計算!$AL$65:$AX$65),IF($U36="逆止弁",LOOKUP($I35,◆入力◆④「1個放水」計算!$AL$59:$AX$59,◆入力◆④「1個放水」計算!$AL$66:$AX$66),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J36" s="115"/>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row>
    <row r="37" spans="6:69" x14ac:dyDescent="0.15">
      <c r="F37" s="235" t="s">
        <v>30</v>
      </c>
      <c r="G37" s="40"/>
      <c r="H37" s="154"/>
      <c r="I37" s="133">
        <f>IF($F$55=0,0,◆入力◆④「1個放水」計算!I37)</f>
        <v>0</v>
      </c>
      <c r="J37" s="121"/>
      <c r="K37" s="148"/>
      <c r="L37" s="95"/>
      <c r="M37" s="135"/>
      <c r="N37" s="85"/>
      <c r="O37" s="77">
        <f>IF(I38=0,0,"E９０°")</f>
        <v>0</v>
      </c>
      <c r="P37" s="136">
        <f>IF($F$55=0,0,◆入力◆④「1個放水」計算!P37)</f>
        <v>0</v>
      </c>
      <c r="Q37" s="78">
        <f>IF(I38=0,0,IF(I37="SGP-VB",LOOKUP(I38,◆入力◆④「1個放水」計算!$AL$4:$AX$4,◆入力◆④「1個放水」計算!$AL$6:$AX$6),IF(I37="SGP-PB",LOOKUP(I38,◆入力◆④「1個放水」計算!$AL$15:$AX$15,◆入力◆④「1個放水」計算!$AL$17:$AX$17),IF(I37="HIVP",LOOKUP(I38,◆入力◆④「1個放水」計算!$AL$26:$AX$26,◆入力◆④「1個放水」計算!$AL$28:$AX$28),IF(OR(I37="SGP",I37="フレキ"),LOOKUP(I38,◆入力◆④「1個放水」計算!$AL$37:$AX$37,◆入力◆④「1個放水」計算!$AL$39:$AX$39),IF(I37="SUS",LOOKUP(I38,◆入力◆④「1個放水」計算!$AL$48:$AX$48,◆入力◆④「1個放水」計算!$AL$50:$AX$50),IF(OR(I37="PE",I37="PP"),LOOKUP(I38,◆入力◆④「1個放水」計算!$AL$59:$AX$59,◆入力◆④「1個放水」計算!$AL$61:$AX$61))))))))</f>
        <v>0</v>
      </c>
      <c r="R37" s="79">
        <f t="shared" si="0"/>
        <v>0</v>
      </c>
      <c r="S37" s="80"/>
      <c r="T37" s="81">
        <v>0</v>
      </c>
      <c r="U37" s="137">
        <f>IF($F$55=0,0,◆入力◆④「1個放水」計算!U37)</f>
        <v>0</v>
      </c>
      <c r="V37" s="136">
        <f>IF($F$55=0,0,◆入力◆④「1個放水」計算!V37)</f>
        <v>0</v>
      </c>
      <c r="W37" s="82">
        <f>IF($U37="Yスト",AC37,IF($I37="sgp-vb",AD37,IF($I37="sgp-pb",AE37,IF($I37="hivp",AF37,IF(OR($I37="sgp",$I37="フレキ"),AG37,IF($I37="sus",AH37,IF(OR($I37="PE",$I37="PP"),AI37,0)))))))</f>
        <v>0</v>
      </c>
      <c r="X37" s="79">
        <f t="shared" si="1"/>
        <v>0</v>
      </c>
      <c r="Y37" s="80"/>
      <c r="Z37" s="84">
        <f t="shared" ref="Z37" si="26">IF(AND($U37="電動弁",$V37=1),LOOKUP($K38,$AL$76:$BQ$76,$AL$77:$BQ$77),IF(AND($U37="逆流防止装置E",$V37=1),LOOKUP($I38,$AN$105:$AQ$105,$AN133:$AQ133),IF(AND($U37="逆流防止装置K",$V37=1),LOOKUP($I38,$AN$105:$AQ$105,$AN134:$AQ134),IF(AND($U37="逆流防止装置T",$V37=1),LOOKUP($I38,$AN$105:$AQ$105,$AN135:$AQ135),0))))</f>
        <v>0</v>
      </c>
      <c r="AA37" s="40"/>
      <c r="AB37" s="76"/>
      <c r="AC37" s="86">
        <f>IF(U37="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7" s="86">
        <f>IF($U37="仕切弁",LOOKUP($I38,◆入力◆④「1個放水」計算!$AL$4:$AX$4,◆入力◆④「1個放水」計算!$AL$9:$AX$9),IF($U37="逆止弁",LOOKUP($I38,◆入力◆④「1個放水」計算!$AL$4:$AX$4,◆入力◆④「1個放水」計算!$AL$10:$AX$10),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E37" s="86">
        <f>IF($U37="仕切弁",LOOKUP($I38,◆入力◆④「1個放水」計算!$AL$15:$AX$15,◆入力◆④「1個放水」計算!$AL$20:$AX$20),IF($U37="逆止弁",LOOKUP($I38,◆入力◆④「1個放水」計算!$AL$15:$AX$15,◆入力◆④「1個放水」計算!$AL$21:$AX$21),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F37" s="86">
        <f>IF($U37="仕切弁",LOOKUP($I38,◆入力◆④「1個放水」計算!$AL$26:$AX$26,◆入力◆④「1個放水」計算!$AL$31:$AX$31),IF($U37="逆止弁",LOOKUP($I38,◆入力◆④「1個放水」計算!$AL$26:$AX$26,◆入力◆④「1個放水」計算!$AL$32:$AX$32),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G37" s="86">
        <f>IF($U37="仕切弁",LOOKUP($I38,◆入力◆④「1個放水」計算!$AL$37:$AX$37,◆入力◆④「1個放水」計算!$AL$42:$AX$42),IF($U37="逆止弁",LOOKUP($I38,◆入力◆④「1個放水」計算!$AL$37:$AX$37,◆入力◆④「1個放水」計算!$AL$43:$AX$43),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H37" s="86">
        <f>IF($U37="仕切弁",LOOKUP($I38,◆入力◆④「1個放水」計算!$AL$48:$AX$48,◆入力◆④「1個放水」計算!$AL$53:$AX$53),IF($U37="逆止弁",LOOKUP($I38,◆入力◆④「1個放水」計算!$AL$48:$AX$48,◆入力◆④「1個放水」計算!$AL$54:$AX$54),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I37" s="86">
        <f>IF($U37="仕切弁",LOOKUP($I38,◆入力◆④「1個放水」計算!$AL$59:$AX$59,◆入力◆④「1個放水」計算!$AL$65:$AX$65),IF($U37="逆止弁",LOOKUP($I38,◆入力◆④「1個放水」計算!$AL$59:$AX$59,◆入力◆④「1個放水」計算!$AL$66:$AX$66),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J37" s="115"/>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6:69" x14ac:dyDescent="0.15">
      <c r="F38" s="235"/>
      <c r="G38" s="40"/>
      <c r="H38" s="149">
        <f>IF($F$55=0,0,◆入力◆④「1個放水」計算!H38)</f>
        <v>0</v>
      </c>
      <c r="I38" s="140">
        <f>IF($F$55=0,0,◆入力◆④「1個放水」計算!I38)</f>
        <v>0</v>
      </c>
      <c r="J38" s="121"/>
      <c r="K38" s="134">
        <f>IF(I38=0,0,K35)</f>
        <v>0</v>
      </c>
      <c r="L38" s="74">
        <f>IF(I38=0,0,IF(I38&gt;=65,K38^1.85*0.012/I39^4.87,ROUNDUP((0.0126+(0.01739-(0.1087*I39/100))/SQRT(4*K38/(60000*PI()*(I39/100)^2)))*(1/(I39/100))*((4*K38/(60000*PI()*(I39/100)^2))^2/(2*9.8)),4)))</f>
        <v>0</v>
      </c>
      <c r="M38" s="142">
        <f>IF($F$55=0,0,◆入力◆④「1個放水」計算!M38)</f>
        <v>0</v>
      </c>
      <c r="N38" s="84">
        <f>ROUNDUP(L38*M38,2)</f>
        <v>0</v>
      </c>
      <c r="O38" s="87">
        <f>IF(I38=0,0,"Ｔ直")</f>
        <v>0</v>
      </c>
      <c r="P38" s="138">
        <f>IF($F$55=0,0,◆入力◆④「1個放水」計算!P38)</f>
        <v>0</v>
      </c>
      <c r="Q38" s="88">
        <f>IF(I38=0,0,IF(I37="SGP-VB",LOOKUP(I38,◆入力◆④「1個放水」計算!$AL$4:$AX$4,◆入力◆④「1個放水」計算!$AL$7:$AX$7),IF(I37="SGP-PB",LOOKUP(I38,◆入力◆④「1個放水」計算!$AL$15:$AX$15,◆入力◆④「1個放水」計算!$AL$18:$AX$18),IF(I37="HIVP",LOOKUP(I38,◆入力◆④「1個放水」計算!$AL$26:$AX$26,◆入力◆④「1個放水」計算!$AL$29:$AX$29),IF(OR(I37="SGP",I37="フレキ"),LOOKUP(I38,◆入力◆④「1個放水」計算!$AL$37:$AX$37,◆入力◆④「1個放水」計算!$AL$40:$AX$40),IF(I37="SUS",LOOKUP(I38,◆入力◆④「1個放水」計算!$AL$48:$AX$48,◆入力◆④「1個放水」計算!$AL$51:$AX$51),IF(OR(I37="PE",I37="PP"),LOOKUP(I38,◆入力◆④「1個放水」計算!$AL$59:$AX$59,◆入力◆④「1個放水」計算!$AL$63:$AX$63))))))))</f>
        <v>0</v>
      </c>
      <c r="R38" s="82">
        <f t="shared" si="0"/>
        <v>0</v>
      </c>
      <c r="S38" s="83">
        <f>R37+R38+R39</f>
        <v>0</v>
      </c>
      <c r="T38" s="84">
        <f>ROUNDUP(L38*S38,2)</f>
        <v>0</v>
      </c>
      <c r="U38" s="143">
        <f>IF($F$55=0,0,◆入力◆④「1個放水」計算!U38)</f>
        <v>0</v>
      </c>
      <c r="V38" s="138">
        <f>IF($F$55=0,0,◆入力◆④「1個放水」計算!V38)</f>
        <v>0</v>
      </c>
      <c r="W38" s="82">
        <f>IF($U38="Yスト",AC38,IF($I37="sgp-vb",AD38,IF($I37="sgp-pb",AE38,IF($I37="hivp",AF38,IF(OR($I37="sgp",$I37="フレキ"),AG38,IF($I37="sus",AH38,IF(OR($I37="PE",$I37="PP"),AI38,0)))))))</f>
        <v>0</v>
      </c>
      <c r="X38" s="82">
        <f t="shared" si="1"/>
        <v>0</v>
      </c>
      <c r="Y38" s="83">
        <f>SUM(X37:X39)</f>
        <v>0</v>
      </c>
      <c r="Z38" s="84">
        <f t="shared" ref="Z38" si="27">IF(AND($U38="電動弁",$V38=1),LOOKUP($K38,$AL$76:$BQ$76,$AL$77:$BQ$77),IF(AND($U38="逆流防止装置E",$V38=1),LOOKUP($I38,$AN$105:$AQ$105,$AN133:$AQ133),IF(AND($U38="逆流防止装置K",$V38=1),LOOKUP($I38,$AN$105:$AQ$105,$AN134:$AQ134),IF(AND($U38="逆流防止装置T",$V38=1),LOOKUP($I38,$AN$105:$AQ$105,$AN135:$AQ135),0))))</f>
        <v>0</v>
      </c>
      <c r="AA38" s="40"/>
      <c r="AB38" s="84">
        <f>N38+T38+Z37+Z38+Z39</f>
        <v>0</v>
      </c>
      <c r="AC38" s="89">
        <f>IF(U38="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8" s="90">
        <f>IF($U38="仕切弁",LOOKUP($I38,◆入力◆④「1個放水」計算!$AL$4:$AX$4,◆入力◆④「1個放水」計算!$AL$9:$AX$9),IF($U38="逆止弁",LOOKUP($I38,◆入力◆④「1個放水」計算!$AL$4:$AX$4,◆入力◆④「1個放水」計算!$AL$10:$AX$10),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E38" s="90">
        <f>IF($U38="仕切弁",LOOKUP($I38,◆入力◆④「1個放水」計算!$AL$15:$AX$15,◆入力◆④「1個放水」計算!$AL$20:$AX$20),IF($U38="逆止弁",LOOKUP($I38,◆入力◆④「1個放水」計算!$AL$15:$AX$15,◆入力◆④「1個放水」計算!$AL$21:$AX$21),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F38" s="90">
        <f>IF($U38="仕切弁",LOOKUP($I38,◆入力◆④「1個放水」計算!$AL$26:$AX$26,◆入力◆④「1個放水」計算!$AL$31:$AX$31),IF($U38="逆止弁",LOOKUP($I38,◆入力◆④「1個放水」計算!$AL$26:$AX$26,◆入力◆④「1個放水」計算!$AL$32:$AX$32),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G38" s="90">
        <f>IF($U38="仕切弁",LOOKUP($I38,◆入力◆④「1個放水」計算!$AL$37:$AX$37,◆入力◆④「1個放水」計算!$AL$42:$AX$42),IF($U38="逆止弁",LOOKUP($I38,◆入力◆④「1個放水」計算!$AL$37:$AX$37,◆入力◆④「1個放水」計算!$AL$43:$AX$43),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H38" s="90">
        <f>IF($U38="仕切弁",LOOKUP($I38,◆入力◆④「1個放水」計算!$AL$48:$AX$48,◆入力◆④「1個放水」計算!$AL$53:$AX$53),IF($U38="逆止弁",LOOKUP($I38,◆入力◆④「1個放水」計算!$AL$48:$AX$48,◆入力◆④「1個放水」計算!$AL$54:$AX$54),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I38" s="90">
        <f>IF($U38="仕切弁",LOOKUP($I38,◆入力◆④「1個放水」計算!$AL$59:$AX$59,◆入力◆④「1個放水」計算!$AL$65:$AX$65),IF($U38="逆止弁",LOOKUP($I38,◆入力◆④「1個放水」計算!$AL$59:$AX$59,◆入力◆④「1個放水」計算!$AL$66:$AX$66),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J38" s="115"/>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row>
    <row r="39" spans="6:69" x14ac:dyDescent="0.15">
      <c r="F39" s="235"/>
      <c r="G39" s="40"/>
      <c r="H39" s="149"/>
      <c r="I39" s="146" t="b">
        <f>IF(I38="",0,IF(I37="SGP-VB",LOOKUP(I38,◆入力◆④「1個放水」計算!$AL$4:$AX$4,◆入力◆④「1個放水」計算!$AL$5:$AX$5),IF(I37="SGP-PB",LOOKUP(I38,◆入力◆④「1個放水」計算!$AL$15:$AX$15,◆入力◆④「1個放水」計算!$AL$16:$AX$16),IF(I37="HIVP",LOOKUP(I38,◆入力◆④「1個放水」計算!$AL$26:$AX$26,◆入力◆④「1個放水」計算!$AL$27:$AX$27),IF(OR(I37="SGP",I37="フレキ"),LOOKUP(I38,◆入力◆④「1個放水」計算!$AL$37:$AX$37,◆入力◆④「1個放水」計算!$AL$38:$AX$38),IF(I37="SUS",LOOKUP(I38,◆入力◆④「1個放水」計算!$AL$48:$AX$48,◆入力◆④「1個放水」計算!$AL$49:$AX$49),IF(OR(I37="PE",I37="PP"),LOOKUP(I38,◆入力◆④「1個放水」計算!$AL$59:$AX$59,◆入力◆④「1個放水」計算!$AL$60:$AX$60))))))))</f>
        <v>0</v>
      </c>
      <c r="J39" s="121"/>
      <c r="K39" s="150"/>
      <c r="L39" s="98"/>
      <c r="M39" s="151"/>
      <c r="N39" s="93"/>
      <c r="O39" s="87">
        <f>IF(I38=0,0,"Ｔ分")</f>
        <v>0</v>
      </c>
      <c r="P39" s="152">
        <f>IF($F$55=0,0,◆入力◆④「1個放水」計算!P39)</f>
        <v>0</v>
      </c>
      <c r="Q39" s="88">
        <f>IF(I38=0,0,IF(I37="SGP-VB",LOOKUP(I38,◆入力◆④「1個放水」計算!$AL$4:$AX$4,◆入力◆④「1個放水」計算!$AL$8:$AX$8),IF(I37="SGP-PB",LOOKUP(I38,◆入力◆④「1個放水」計算!$AL$15:$AX$15,◆入力◆④「1個放水」計算!$AL$19:$AX$19),IF(I37="HIVP",LOOKUP(I38,◆入力◆④「1個放水」計算!$AL$26:$AX$26,◆入力◆④「1個放水」計算!$AL$30:$AX$30),IF(OR(I37="SGP",I37="フレキ"),LOOKUP(I38,◆入力◆④「1個放水」計算!$AL$37:$AX$37,◆入力◆④「1個放水」計算!$AL$41:$AX$41),IF(I37="SUS",LOOKUP(I38,◆入力◆④「1個放水」計算!$AL$48:$AX$48,◆入力◆④「1個放水」計算!$AL$52:$AX$52),IF(OR(I37="PE",I37="PP"),LOOKUP(I38,◆入力◆④「1個放水」計算!$AL$59:$AX$59,◆入力◆④「1個放水」計算!$AL$64:$AX$64))))))))</f>
        <v>0</v>
      </c>
      <c r="R39" s="100">
        <f t="shared" si="0"/>
        <v>0</v>
      </c>
      <c r="S39" s="101"/>
      <c r="T39" s="92"/>
      <c r="U39" s="147">
        <f>IF($F$55=0,0,◆入力◆④「1個放水」計算!U39)</f>
        <v>0</v>
      </c>
      <c r="V39" s="152">
        <f>IF($F$55=0,0,◆入力◆④「1個放水」計算!V39)</f>
        <v>0</v>
      </c>
      <c r="W39" s="100">
        <f>IF($U39="Yスト",AC39,IF($I37="sgp-vb",AD39,IF($I37="sgp-pb",AE39,IF($I37="hivp",AF39,IF(OR($I37="sgp",$I37="フレキ"),AG39,IF($I37="sus",AH39,IF(OR($I37="PE",$I37="PP"),AI39,0)))))))</f>
        <v>0</v>
      </c>
      <c r="X39" s="100">
        <f t="shared" si="1"/>
        <v>0</v>
      </c>
      <c r="Y39" s="101"/>
      <c r="Z39" s="92">
        <f t="shared" ref="Z39" si="28">ROUNDUP(L38*Y38,2)</f>
        <v>0</v>
      </c>
      <c r="AA39" s="40"/>
      <c r="AB39" s="76"/>
      <c r="AC39" s="90">
        <f>IF(U39="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9" s="90">
        <f>IF($U39="仕切弁",LOOKUP($I38,◆入力◆④「1個放水」計算!$AL$4:$AX$4,◆入力◆④「1個放水」計算!$AL$9:$AX$9),IF($U39="逆止弁",LOOKUP($I38,◆入力◆④「1個放水」計算!$AL$4:$AX$4,◆入力◆④「1個放水」計算!$AL$10:$AX$10),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E39" s="90">
        <f>IF($U39="仕切弁",LOOKUP($I38,◆入力◆④「1個放水」計算!$AL$15:$AX$15,◆入力◆④「1個放水」計算!$AL$20:$AX$20),IF($U39="逆止弁",LOOKUP($I38,◆入力◆④「1個放水」計算!$AL$15:$AX$15,◆入力◆④「1個放水」計算!$AL$21:$AX$21),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F39" s="90">
        <f>IF($U39="仕切弁",LOOKUP($I38,◆入力◆④「1個放水」計算!$AL$26:$AX$26,◆入力◆④「1個放水」計算!$AL$31:$AX$31),IF($U39="逆止弁",LOOKUP($I38,◆入力◆④「1個放水」計算!$AL$26:$AX$26,◆入力◆④「1個放水」計算!$AL$32:$AX$32),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G39" s="90">
        <f>IF($U39="仕切弁",LOOKUP($I38,◆入力◆④「1個放水」計算!$AL$37:$AX$37,◆入力◆④「1個放水」計算!$AL$42:$AX$42),IF($U39="逆止弁",LOOKUP($I38,◆入力◆④「1個放水」計算!$AL$37:$AX$37,◆入力◆④「1個放水」計算!$AL$43:$AX$43),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H39" s="90">
        <f>IF($U39="仕切弁",LOOKUP($I38,◆入力◆④「1個放水」計算!$AL$48:$AX$48,◆入力◆④「1個放水」計算!$AL$53:$AX$53),IF($U39="逆止弁",LOOKUP($I38,◆入力◆④「1個放水」計算!$AL$48:$AX$48,◆入力◆④「1個放水」計算!$AL$54:$AX$54),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I39" s="90">
        <f>IF($U39="仕切弁",LOOKUP($I38,◆入力◆④「1個放水」計算!$AL$59:$AX$59,◆入力◆④「1個放水」計算!$AL$65:$AX$65),IF($U39="逆止弁",LOOKUP($I38,◆入力◆④「1個放水」計算!$AL$59:$AX$59,◆入力◆④「1個放水」計算!$AL$66:$AX$66),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J39" s="115"/>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row>
    <row r="40" spans="6:69" x14ac:dyDescent="0.15">
      <c r="F40" s="235" t="s">
        <v>31</v>
      </c>
      <c r="G40" s="40"/>
      <c r="H40" s="132"/>
      <c r="I40" s="133">
        <f>IF($F$55=0,0,◆入力◆④「1個放水」計算!I40)</f>
        <v>0</v>
      </c>
      <c r="J40" s="121"/>
      <c r="K40" s="134"/>
      <c r="L40" s="74"/>
      <c r="M40" s="142"/>
      <c r="N40" s="76"/>
      <c r="O40" s="77">
        <f>IF(I41=0,0,"E９０°")</f>
        <v>0</v>
      </c>
      <c r="P40" s="136">
        <f>IF($F$55=0,0,◆入力◆④「1個放水」計算!P40)</f>
        <v>0</v>
      </c>
      <c r="Q40" s="79">
        <f>IF(I41=0,0,IF(I40="SGP-VB",LOOKUP(I41,◆入力◆④「1個放水」計算!$AL$4:$AX$4,◆入力◆④「1個放水」計算!$AL$6:$AX$6),IF(I40="SGP-PB",LOOKUP(I41,◆入力◆④「1個放水」計算!$AL$15:$AX$15,◆入力◆④「1個放水」計算!$AL$17:$AX$17),IF(I40="HIVP",LOOKUP(I41,◆入力◆④「1個放水」計算!$AL$26:$AX$26,◆入力◆④「1個放水」計算!$AL$28:$AX$28),IF(OR(I40="SGP",I40="フレキ"),LOOKUP(I41,◆入力◆④「1個放水」計算!$AL$37:$AX$37,◆入力◆④「1個放水」計算!$AL$39:$AX$39),IF(I40="SUS",LOOKUP(I41,◆入力◆④「1個放水」計算!$AL$48:$AX$48,◆入力◆④「1個放水」計算!$AL$50:$AX$50),IF(OR(I40="PE",I40="PP"),LOOKUP(I41,◆入力◆④「1個放水」計算!$AL$59:$AX$59,◆入力◆④「1個放水」計算!$AL$61:$AX$61))))))))</f>
        <v>0</v>
      </c>
      <c r="R40" s="79">
        <f t="shared" si="0"/>
        <v>0</v>
      </c>
      <c r="S40" s="80"/>
      <c r="T40" s="81">
        <v>0</v>
      </c>
      <c r="U40" s="137">
        <f>IF($F$55=0,0,◆入力◆④「1個放水」計算!U40)</f>
        <v>0</v>
      </c>
      <c r="V40" s="138">
        <f>IF($F$55=0,0,◆入力◆④「1個放水」計算!V40)</f>
        <v>0</v>
      </c>
      <c r="W40" s="82">
        <f>IF($U40="Yスト",AC40,IF($I40="sgp-vb",AD40,IF($I40="sgp-pb",AE40,IF($I40="hivp",AF40,IF(OR($I40="sgp",$I40="フレキ"),AG40,IF($I40="sus",AH40,IF(OR($I40="PE",$I40="PP"),AI40,0)))))))</f>
        <v>0</v>
      </c>
      <c r="X40" s="82">
        <f t="shared" si="1"/>
        <v>0</v>
      </c>
      <c r="Y40" s="83"/>
      <c r="Z40" s="84">
        <f t="shared" ref="Z40" si="29">IF(AND($U40="電動弁",$V40=1),LOOKUP($K41,$AL$76:$BQ$76,$AL$77:$BQ$77),IF(AND($U40="逆流防止装置E",$V40=1),LOOKUP($I41,$AN$105:$AQ$105,$AN136:$AQ136),IF(AND($U40="逆流防止装置K",$V40=1),LOOKUP($I41,$AN$105:$AQ$105,$AN137:$AQ137),IF(AND($U40="逆流防止装置T",$V40=1),LOOKUP($I41,$AN$105:$AQ$105,$AN138:$AQ138),0))))</f>
        <v>0</v>
      </c>
      <c r="AA40" s="40"/>
      <c r="AB40" s="85"/>
      <c r="AC40" s="86">
        <f>IF(U40="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0" s="86">
        <f>IF($U40="仕切弁",LOOKUP($I41,◆入力◆④「1個放水」計算!$AL$4:$AX$4,◆入力◆④「1個放水」計算!$AL$9:$AX$9),IF($U40="逆止弁",LOOKUP($I41,◆入力◆④「1個放水」計算!$AL$4:$AX$4,◆入力◆④「1個放水」計算!$AL$10:$AX$10),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E40" s="86">
        <f>IF($U40="仕切弁",LOOKUP($I41,◆入力◆④「1個放水」計算!$AL$15:$AX$15,◆入力◆④「1個放水」計算!$AL$20:$AX$20),IF($U40="逆止弁",LOOKUP($I41,◆入力◆④「1個放水」計算!$AL$15:$AX$15,◆入力◆④「1個放水」計算!$AL$21:$AX$21),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F40" s="86">
        <f>IF($U40="仕切弁",LOOKUP($I41,◆入力◆④「1個放水」計算!$AL$26:$AX$26,◆入力◆④「1個放水」計算!$AL$31:$AX$31),IF($U40="逆止弁",LOOKUP($I41,◆入力◆④「1個放水」計算!$AL$26:$AX$26,◆入力◆④「1個放水」計算!$AL$32:$AX$32),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G40" s="86">
        <f>IF($U40="仕切弁",LOOKUP($I41,◆入力◆④「1個放水」計算!$AL$37:$AX$37,◆入力◆④「1個放水」計算!$AL$42:$AX$42),IF($U40="逆止弁",LOOKUP($I41,◆入力◆④「1個放水」計算!$AL$37:$AX$37,◆入力◆④「1個放水」計算!$AL$43:$AX$43),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H40" s="86">
        <f>IF($U40="仕切弁",LOOKUP($I41,◆入力◆④「1個放水」計算!$AL$48:$AX$48,◆入力◆④「1個放水」計算!$AL$53:$AX$53),IF($U40="逆止弁",LOOKUP($I41,◆入力◆④「1個放水」計算!$AL$48:$AX$48,◆入力◆④「1個放水」計算!$AL$54:$AX$54),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I40" s="86">
        <f>IF($U40="仕切弁",LOOKUP($I41,◆入力◆④「1個放水」計算!$AL$59:$AX$59,◆入力◆④「1個放水」計算!$AL$65:$AX$65),IF($U40="逆止弁",LOOKUP($I41,◆入力◆④「1個放水」計算!$AL$59:$AX$59,◆入力◆④「1個放水」計算!$AL$66:$AX$66),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J40" s="115"/>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row>
    <row r="41" spans="6:69" ht="14.25" customHeight="1" x14ac:dyDescent="0.15">
      <c r="F41" s="235"/>
      <c r="G41" s="40"/>
      <c r="H41" s="149">
        <f>IF($F$55=0,0,◆入力◆④「1個放水」計算!H41)</f>
        <v>0</v>
      </c>
      <c r="I41" s="140">
        <f>IF($F$55=0,0,◆入力◆④「1個放水」計算!I41)</f>
        <v>0</v>
      </c>
      <c r="J41" s="121"/>
      <c r="K41" s="134">
        <f>IF(I41=0,0,K38)</f>
        <v>0</v>
      </c>
      <c r="L41" s="74">
        <f>IF(I41=0,0,IF(I41&gt;=65,K41^1.85*0.012/I42^4.87,ROUNDUP((0.0126+(0.01739-(0.1087*I42/100))/SQRT(4*K41/(60000*PI()*(I42/100)^2)))*(1/(I42/100))*((4*K41/(60000*PI()*(I42/100)^2))^2/(2*9.8)),4)))</f>
        <v>0</v>
      </c>
      <c r="M41" s="142">
        <f>IF($F$55=0,0,◆入力◆④「1個放水」計算!M41)</f>
        <v>0</v>
      </c>
      <c r="N41" s="84">
        <f>ROUNDUP(L41*M41,2)</f>
        <v>0</v>
      </c>
      <c r="O41" s="87">
        <f>IF(I41=0,0,"Ｔ直")</f>
        <v>0</v>
      </c>
      <c r="P41" s="138">
        <f>IF($F$55=0,0,◆入力◆④「1個放水」計算!P41)</f>
        <v>0</v>
      </c>
      <c r="Q41" s="82">
        <f>IF(I41=0,0,IF(I40="SGP-VB",LOOKUP(I41,◆入力◆④「1個放水」計算!$AL$4:$AX$4,◆入力◆④「1個放水」計算!$AL$7:$AX$7),IF(I40="SGP-PB",LOOKUP(I41,◆入力◆④「1個放水」計算!$AL$15:$AX$15,◆入力◆④「1個放水」計算!$AL$18:$AX$18),IF(I40="HIVP",LOOKUP(I41,◆入力◆④「1個放水」計算!$AL$26:$AX$26,◆入力◆④「1個放水」計算!$AL$29:$AX$29),IF(OR(I40="SGP",I40="フレキ"),LOOKUP(I41,◆入力◆④「1個放水」計算!$AL$37:$AX$37,◆入力◆④「1個放水」計算!$AL$40:$AX$40),IF(I40="SUS",LOOKUP(I41,◆入力◆④「1個放水」計算!$AL$48:$AX$48,◆入力◆④「1個放水」計算!$AL$51:$AX$51),IF(OR(I40="PE",I40="PP"),LOOKUP(I41,◆入力◆④「1個放水」計算!$AL$59:$AX$59,◆入力◆④「1個放水」計算!$AL$63:$AX$63))))))))</f>
        <v>0</v>
      </c>
      <c r="R41" s="82">
        <f t="shared" si="0"/>
        <v>0</v>
      </c>
      <c r="S41" s="83">
        <f>R40+R41+R42</f>
        <v>0</v>
      </c>
      <c r="T41" s="84">
        <f>ROUNDUP(L41*S41,2)</f>
        <v>0</v>
      </c>
      <c r="U41" s="143">
        <f>IF($F$55=0,0,◆入力◆④「1個放水」計算!U41)</f>
        <v>0</v>
      </c>
      <c r="V41" s="138">
        <f>IF($F$55=0,0,◆入力◆④「1個放水」計算!V41)</f>
        <v>0</v>
      </c>
      <c r="W41" s="82">
        <f>IF($U41="Yスト",AC41,IF($I40="sgp-vb",AD41,IF($I40="sgp-pb",AE41,IF($I40="hivp",AF41,IF(OR($I40="sgp",$I40="フレキ"),AG41,IF($I40="sus",AH41,IF(OR($I40="PE",$I40="PP"),AI41,0)))))))</f>
        <v>0</v>
      </c>
      <c r="X41" s="82">
        <f t="shared" si="1"/>
        <v>0</v>
      </c>
      <c r="Y41" s="83">
        <f>SUM(X40:X42)</f>
        <v>0</v>
      </c>
      <c r="Z41" s="84">
        <f t="shared" ref="Z41" si="30">IF(AND($U41="電動弁",$V41=1),LOOKUP($K41,$AL$76:$BQ$76,$AL$77:$BQ$77),IF(AND($U41="逆流防止装置E",$V41=1),LOOKUP($I41,$AN$105:$AQ$105,$AN136:$AQ136),IF(AND($U41="逆流防止装置K",$V41=1),LOOKUP($I41,$AN$105:$AQ$105,$AN137:$AQ137),IF(AND($U41="逆流防止装置T",$V41=1),LOOKUP($I41,$AN$105:$AQ$105,$AN138:$AQ138),0))))</f>
        <v>0</v>
      </c>
      <c r="AA41" s="40"/>
      <c r="AB41" s="84">
        <f>N41+T41+Z40+Z41+Z42</f>
        <v>0</v>
      </c>
      <c r="AC41" s="89">
        <f>IF(U41="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1" s="90">
        <f>IF($U41="仕切弁",LOOKUP($I41,◆入力◆④「1個放水」計算!$AL$4:$AX$4,◆入力◆④「1個放水」計算!$AL$9:$AX$9),IF($U41="逆止弁",LOOKUP($I41,◆入力◆④「1個放水」計算!$AL$4:$AX$4,◆入力◆④「1個放水」計算!$AL$10:$AX$10),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E41" s="90">
        <f>IF($U41="仕切弁",LOOKUP($I41,◆入力◆④「1個放水」計算!$AL$15:$AX$15,◆入力◆④「1個放水」計算!$AL$20:$AX$20),IF($U41="逆止弁",LOOKUP($I41,◆入力◆④「1個放水」計算!$AL$15:$AX$15,◆入力◆④「1個放水」計算!$AL$21:$AX$21),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F41" s="90">
        <f>IF($U41="仕切弁",LOOKUP($I41,◆入力◆④「1個放水」計算!$AL$26:$AX$26,◆入力◆④「1個放水」計算!$AL$31:$AX$31),IF($U41="逆止弁",LOOKUP($I41,◆入力◆④「1個放水」計算!$AL$26:$AX$26,◆入力◆④「1個放水」計算!$AL$32:$AX$32),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G41" s="90">
        <f>IF($U41="仕切弁",LOOKUP($I41,◆入力◆④「1個放水」計算!$AL$37:$AX$37,◆入力◆④「1個放水」計算!$AL$42:$AX$42),IF($U41="逆止弁",LOOKUP($I41,◆入力◆④「1個放水」計算!$AL$37:$AX$37,◆入力◆④「1個放水」計算!$AL$43:$AX$43),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H41" s="90">
        <f>IF($U41="仕切弁",LOOKUP($I41,◆入力◆④「1個放水」計算!$AL$48:$AX$48,◆入力◆④「1個放水」計算!$AL$53:$AX$53),IF($U41="逆止弁",LOOKUP($I41,◆入力◆④「1個放水」計算!$AL$48:$AX$48,◆入力◆④「1個放水」計算!$AL$54:$AX$54),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I41" s="90">
        <f>IF($U41="仕切弁",LOOKUP($I41,◆入力◆④「1個放水」計算!$AL$59:$AX$59,◆入力◆④「1個放水」計算!$AL$65:$AX$65),IF($U41="逆止弁",LOOKUP($I41,◆入力◆④「1個放水」計算!$AL$59:$AX$59,◆入力◆④「1個放水」計算!$AL$66:$AX$66),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J41" s="115"/>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row>
    <row r="42" spans="6:69" ht="15" thickBot="1" x14ac:dyDescent="0.2">
      <c r="F42" s="236"/>
      <c r="G42" s="40"/>
      <c r="H42" s="145"/>
      <c r="I42" s="146" t="b">
        <f>IF(I41="",0,IF(I40="SGP-VB",LOOKUP(I41,◆入力◆④「1個放水」計算!$AL$4:$AX$4,◆入力◆④「1個放水」計算!$AL$5:$AX$5),IF(I40="SGP-PB",LOOKUP(I41,◆入力◆④「1個放水」計算!$AL$15:$AX$15,◆入力◆④「1個放水」計算!$AL$16:$AX$16),IF(I40="HIVP",LOOKUP(I41,◆入力◆④「1個放水」計算!$AL$26:$AX$26,◆入力◆④「1個放水」計算!$AL$27:$AX$27),IF(OR(I40="SGP",I40="フレキ"),LOOKUP(I41,◆入力◆④「1個放水」計算!$AL$37:$AX$37,◆入力◆④「1個放水」計算!$AL$38:$AX$38),IF(I40="SUS",LOOKUP(I41,◆入力◆④「1個放水」計算!$AL$48:$AX$48,◆入力◆④「1個放水」計算!$AL$49:$AX$49),IF(OR(I40="PE",I40="PP"),LOOKUP(I41,◆入力◆④「1個放水」計算!$AL$59:$AX$59,◆入力◆④「1個放水」計算!$AL$60:$AX$60))))))))</f>
        <v>0</v>
      </c>
      <c r="J42" s="121"/>
      <c r="K42" s="150"/>
      <c r="L42" s="98"/>
      <c r="M42" s="151"/>
      <c r="N42" s="110"/>
      <c r="O42" s="111">
        <f>IF(I41=0,0,"Ｔ分")</f>
        <v>0</v>
      </c>
      <c r="P42" s="152">
        <f>IF($F$55=0,0,◆入力◆④「1個放水」計算!P42)</f>
        <v>0</v>
      </c>
      <c r="Q42" s="100">
        <f>IF(I41=0,0,IF(I40="SGP-VB",LOOKUP(I41,◆入力◆④「1個放水」計算!$AL$4:$AX$4,◆入力◆④「1個放水」計算!$AL$8:$AX$8),IF(I40="SGP-PB",LOOKUP(I41,◆入力◆④「1個放水」計算!$AL$15:$AX$15,◆入力◆④「1個放水」計算!$AL$19:$AX$19),IF(I40="HIVP",LOOKUP(I41,◆入力◆④「1個放水」計算!$AL$26:$AX$26,◆入力◆④「1個放水」計算!$AL$30:$AX$30),IF(OR(I40="SGP",I40="フレキ"),LOOKUP(I41,◆入力◆④「1個放水」計算!$AL$37:$AX$37,◆入力◆④「1個放水」計算!$AL$41:$AX$41),IF(I40="SUS",LOOKUP(I41,◆入力◆④「1個放水」計算!$AL$48:$AX$48,◆入力◆④「1個放水」計算!$AL$52:$AX$52),IF(OR(I40="PE",I40="PP"),LOOKUP(I41,◆入力◆④「1個放水」計算!$AL$59:$AX$59,◆入力◆④「1個放水」計算!$AL$64:$AX$64))))))))</f>
        <v>0</v>
      </c>
      <c r="R42" s="100">
        <f t="shared" si="0"/>
        <v>0</v>
      </c>
      <c r="S42" s="101"/>
      <c r="T42" s="112"/>
      <c r="U42" s="147">
        <f>IF($F$55=0,0,◆入力◆④「1個放水」計算!U42)</f>
        <v>0</v>
      </c>
      <c r="V42" s="152">
        <f>IF($F$55=0,0,◆入力◆④「1個放水」計算!V42)</f>
        <v>0</v>
      </c>
      <c r="W42" s="100">
        <f>IF($U42="Yスト",AC42,IF($I40="sgp-vb",AD42,IF($I40="sgp-pb",AE42,IF($I40="hivp",AF42,IF(OR($I40="sgp",$I40="フレキ"),AG42,IF($I40="sus",AH42,IF(OR($I40="PE",$I40="PP"),AI42,0)))))))</f>
        <v>0</v>
      </c>
      <c r="X42" s="100">
        <f t="shared" si="1"/>
        <v>0</v>
      </c>
      <c r="Y42" s="101"/>
      <c r="Z42" s="112">
        <f t="shared" ref="Z42" si="31">ROUNDUP(L41*Y41,2)</f>
        <v>0</v>
      </c>
      <c r="AA42" s="40"/>
      <c r="AB42" s="110"/>
      <c r="AC42" s="113">
        <f>IF(U42="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2" s="114">
        <f>IF($U42="仕切弁",LOOKUP($I41,◆入力◆④「1個放水」計算!$AL$4:$AX$4,◆入力◆④「1個放水」計算!$AL$9:$AX$9),IF($U42="逆止弁",LOOKUP($I41,◆入力◆④「1個放水」計算!$AL$4:$AX$4,◆入力◆④「1個放水」計算!$AL$10:$AX$10),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E42" s="114">
        <f>IF($U42="仕切弁",LOOKUP($I41,◆入力◆④「1個放水」計算!$AL$15:$AX$15,◆入力◆④「1個放水」計算!$AL$20:$AX$20),IF($U42="逆止弁",LOOKUP($I41,◆入力◆④「1個放水」計算!$AL$15:$AX$15,◆入力◆④「1個放水」計算!$AL$21:$AX$21),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F42" s="114">
        <f>IF($U42="仕切弁",LOOKUP($I41,◆入力◆④「1個放水」計算!$AL$26:$AX$26,◆入力◆④「1個放水」計算!$AL$31:$AX$31),IF($U42="逆止弁",LOOKUP($I41,◆入力◆④「1個放水」計算!$AL$26:$AX$26,◆入力◆④「1個放水」計算!$AL$32:$AX$32),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G42" s="114">
        <f>IF($U42="仕切弁",LOOKUP($I41,◆入力◆④「1個放水」計算!$AL$37:$AX$37,◆入力◆④「1個放水」計算!$AL$42:$AX$42),IF($U42="逆止弁",LOOKUP($I41,◆入力◆④「1個放水」計算!$AL$37:$AX$37,◆入力◆④「1個放水」計算!$AL$43:$AX$43),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H42" s="114">
        <f>IF($U42="仕切弁",LOOKUP($I41,◆入力◆④「1個放水」計算!$AL$48:$AX$48,◆入力◆④「1個放水」計算!$AL$53:$AX$53),IF($U42="逆止弁",LOOKUP($I41,◆入力◆④「1個放水」計算!$AL$48:$AX$48,◆入力◆④「1個放水」計算!$AL$54:$AX$54),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I42" s="114">
        <f>IF($U42="仕切弁",LOOKUP($I41,◆入力◆④「1個放水」計算!$AL$59:$AX$59,◆入力◆④「1個放水」計算!$AL$65:$AX$65),IF($U42="逆止弁",LOOKUP($I41,◆入力◆④「1個放水」計算!$AL$59:$AX$59,◆入力◆④「1個放水」計算!$AL$66:$AX$66),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J42" s="115"/>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row>
    <row r="43" spans="6:69" ht="17.25" customHeight="1" thickBot="1" x14ac:dyDescent="0.2">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115"/>
      <c r="AF43" s="115"/>
      <c r="AG43" s="115"/>
      <c r="AH43" s="115"/>
      <c r="AI43" s="115"/>
      <c r="AJ43" s="115"/>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row>
    <row r="44" spans="6:69" ht="18" customHeight="1" thickBot="1" x14ac:dyDescent="0.2">
      <c r="F44" s="40"/>
      <c r="G44" s="40"/>
      <c r="H44" s="64" t="s">
        <v>20</v>
      </c>
      <c r="I44" s="53"/>
      <c r="J44" s="40"/>
      <c r="K44" s="40"/>
      <c r="L44" s="40"/>
      <c r="M44" s="40"/>
      <c r="N44" s="116">
        <f>IF(OR(L46="h",L46="xs",L46="ｈ",L46="ｘｓ"),(N11+N14+N17+N20+N23+N26+N29+N32+N35+N38+N41)*1.1,N11+N14+N17+N20+N23+N26+N29+N32+N35+N38+N41)</f>
        <v>0</v>
      </c>
      <c r="O44" s="40"/>
      <c r="P44" s="40"/>
      <c r="Q44" s="40"/>
      <c r="R44" s="40"/>
      <c r="S44" s="40"/>
      <c r="T44" s="116">
        <f>IF(OR(L46="h",L46="xs",L46="ｈ",L46="ｘｓ"),(T10+T11+T14+T17+T20+T23+T26+T29+T32+T35+T38+T41)*1.1,T10+T11+T14+T17+T20+T23+T26+T29+T32+T35+T38+T41)</f>
        <v>0</v>
      </c>
      <c r="U44" s="40"/>
      <c r="V44" s="40"/>
      <c r="W44" s="40"/>
      <c r="X44" s="40"/>
      <c r="Y44" s="40"/>
      <c r="Z44" s="116">
        <f>SUM(Z10:Z42)</f>
        <v>0</v>
      </c>
      <c r="AA44" s="40"/>
      <c r="AB44" s="116">
        <f>N44+T44+Z44</f>
        <v>0</v>
      </c>
      <c r="AC44" s="88"/>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row>
    <row r="45" spans="6:69" ht="17.100000000000001" customHeight="1" x14ac:dyDescent="0.15">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row>
    <row r="46" spans="6:69" ht="20.100000000000001" customHeight="1" x14ac:dyDescent="0.15">
      <c r="F46" s="64" t="s">
        <v>32</v>
      </c>
      <c r="G46" s="66"/>
      <c r="H46" s="53"/>
      <c r="I46" s="155">
        <f>IF(L47="*1.1",ROUNDUP(AB44*1.1,2),IF(L47="＊１．１",ROUNDUP(AB44*1.1,2),IF(L47="*1.15",ROUNDUP(AB44*1.15,2),IF(L47="＊１．１５",ROUNDUP(AB44*1.15,2),AB44))))</f>
        <v>0</v>
      </c>
      <c r="J46" s="60"/>
      <c r="K46" s="362" t="s">
        <v>33</v>
      </c>
      <c r="L46" s="118" t="s">
        <v>43</v>
      </c>
      <c r="M46" s="54"/>
      <c r="N46" s="54"/>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row>
    <row r="47" spans="6:69" ht="20.100000000000001" customHeight="1" x14ac:dyDescent="0.15">
      <c r="F47" s="119" t="s">
        <v>49</v>
      </c>
      <c r="G47" s="54"/>
      <c r="H47" s="120"/>
      <c r="I47" s="156">
        <v>0</v>
      </c>
      <c r="J47" s="40"/>
      <c r="K47" s="362" t="s">
        <v>33</v>
      </c>
      <c r="L47" s="122">
        <f>IF(L46="S",0,IF(L46="Ｓ",0,IF(L46="F",0,IF(L46="Ｆ",0,IF(L46="*1.1","*1.1",IF(L46="＊１．１","*1.1",IF(L46="*1.15","*1.15",IF(L46="＊１．１５","*1.15",0))))))))</f>
        <v>0</v>
      </c>
      <c r="M47" s="54"/>
      <c r="N47" s="54"/>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row>
    <row r="48" spans="6:69" ht="20.100000000000001" customHeight="1" x14ac:dyDescent="0.15">
      <c r="F48" s="64" t="s">
        <v>34</v>
      </c>
      <c r="G48" s="66"/>
      <c r="H48" s="53"/>
      <c r="I48" s="162">
        <f>◆入力◆④「1個放水」計算!I48</f>
        <v>0</v>
      </c>
      <c r="J48" s="60"/>
      <c r="K48" s="362" t="s">
        <v>33</v>
      </c>
      <c r="L48" s="40"/>
      <c r="M48" s="40"/>
      <c r="N48" s="40"/>
      <c r="O48" s="363"/>
      <c r="P48" s="40"/>
      <c r="Q48" s="123"/>
      <c r="R48" s="363"/>
      <c r="S48" s="40"/>
      <c r="T48" s="123"/>
      <c r="U48" s="54"/>
      <c r="V48" s="54"/>
      <c r="W48" s="123"/>
      <c r="X48" s="123"/>
      <c r="Y48" s="54"/>
      <c r="Z48" s="54"/>
      <c r="AA48" s="54"/>
      <c r="AB48" s="123"/>
      <c r="AC48" s="123"/>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row>
    <row r="49" spans="6:69" ht="20.100000000000001" customHeight="1" x14ac:dyDescent="0.15">
      <c r="F49" s="119" t="s">
        <v>35</v>
      </c>
      <c r="G49" s="54"/>
      <c r="H49" s="120"/>
      <c r="I49" s="157">
        <f>SUM(I46:I48)</f>
        <v>0</v>
      </c>
      <c r="J49" s="40"/>
      <c r="K49" s="362" t="s">
        <v>33</v>
      </c>
      <c r="L49" s="40"/>
      <c r="M49" s="40"/>
      <c r="N49" s="40"/>
      <c r="O49" s="40"/>
      <c r="P49" s="40"/>
      <c r="Q49" s="54"/>
      <c r="R49" s="54"/>
      <c r="S49" s="54"/>
      <c r="T49" s="54"/>
      <c r="U49" s="54"/>
      <c r="V49" s="54"/>
      <c r="W49" s="54"/>
      <c r="X49" s="54"/>
      <c r="Y49" s="54"/>
      <c r="Z49" s="54"/>
      <c r="AA49" s="54"/>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row>
    <row r="50" spans="6:69" ht="20.100000000000001" customHeight="1" x14ac:dyDescent="0.15">
      <c r="F50" s="64" t="s">
        <v>57</v>
      </c>
      <c r="G50" s="66"/>
      <c r="H50" s="53"/>
      <c r="I50" s="158">
        <v>1.1000000000000001</v>
      </c>
      <c r="J50" s="60"/>
      <c r="K50" s="362"/>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row>
    <row r="51" spans="6:69" ht="20.100000000000001" customHeight="1" x14ac:dyDescent="0.15">
      <c r="F51" s="406" t="s">
        <v>79</v>
      </c>
      <c r="G51" s="407"/>
      <c r="H51" s="408"/>
      <c r="I51" s="217">
        <f>ROUNDUP(I49*I50,2)</f>
        <v>0</v>
      </c>
      <c r="J51" s="60"/>
      <c r="K51" s="362" t="s">
        <v>80</v>
      </c>
      <c r="L51" s="40"/>
      <c r="M51" s="54"/>
      <c r="N51" s="54"/>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row>
    <row r="52" spans="6:69" ht="20.100000000000001" customHeight="1" x14ac:dyDescent="0.15">
      <c r="F52" s="40"/>
      <c r="G52" s="40"/>
      <c r="H52" s="40"/>
      <c r="I52" s="40"/>
      <c r="J52" s="40"/>
      <c r="K52" s="56"/>
      <c r="L52" s="40"/>
      <c r="M52" s="54"/>
      <c r="N52" s="54"/>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row>
    <row r="53" spans="6:69" ht="20.100000000000001" customHeight="1" x14ac:dyDescent="0.15">
      <c r="F53" s="409" t="s">
        <v>50</v>
      </c>
      <c r="G53" s="415"/>
      <c r="H53" s="416"/>
      <c r="I53" s="217">
        <f>ROUNDUP(I51/100,2)</f>
        <v>0</v>
      </c>
      <c r="J53" s="60"/>
      <c r="K53" s="362" t="str">
        <f>"MPa"</f>
        <v>MPa</v>
      </c>
      <c r="L53" s="40"/>
      <c r="M53" s="54"/>
      <c r="N53" s="54"/>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row>
    <row r="54" spans="6:69" ht="20.100000000000001" customHeight="1" x14ac:dyDescent="0.15">
      <c r="F54" s="160" t="e">
        <f>MATCH("電動弁",◆入力◆④「1個放水」計算!U10:U42,0)</f>
        <v>#N/A</v>
      </c>
      <c r="G54" s="54"/>
      <c r="H54" s="54"/>
      <c r="I54" s="88"/>
      <c r="J54" s="40"/>
      <c r="K54" s="363"/>
      <c r="L54" s="40"/>
      <c r="M54" s="54"/>
      <c r="N54" s="54"/>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row>
    <row r="55" spans="6:69" ht="20.100000000000001" customHeight="1" x14ac:dyDescent="0.15">
      <c r="F55" s="160">
        <f>IF(ISERROR(F54),0,F54)</f>
        <v>0</v>
      </c>
      <c r="G55" s="54"/>
      <c r="H55" s="54"/>
      <c r="I55" s="40"/>
      <c r="J55" s="40"/>
      <c r="K55" s="52"/>
      <c r="L55" s="40"/>
      <c r="M55" s="54"/>
      <c r="N55" s="54"/>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row>
    <row r="56" spans="6:69" ht="20.100000000000001" customHeight="1" x14ac:dyDescent="0.15">
      <c r="F56" s="160">
        <f>IF(MOD(F55,3)=0,3,MOD(F55,3))</f>
        <v>3</v>
      </c>
      <c r="G56" s="54"/>
      <c r="H56" s="54"/>
      <c r="I56" s="40"/>
      <c r="J56" s="40"/>
      <c r="K56" s="52"/>
      <c r="L56" s="40"/>
      <c r="M56" s="54"/>
      <c r="N56" s="54"/>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row>
    <row r="57" spans="6:69" ht="20.100000000000001" customHeight="1" x14ac:dyDescent="0.15">
      <c r="F57" s="54"/>
      <c r="G57" s="54"/>
      <c r="H57" s="54"/>
      <c r="I57" s="40"/>
      <c r="J57" s="40"/>
      <c r="K57" s="52"/>
      <c r="L57" s="40"/>
      <c r="M57" s="54"/>
      <c r="N57" s="54"/>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row>
    <row r="58" spans="6:69" ht="20.100000000000001" customHeight="1" x14ac:dyDescent="0.15">
      <c r="F58" s="54"/>
      <c r="G58" s="54"/>
      <c r="H58" s="54"/>
      <c r="I58" s="40"/>
      <c r="J58" s="40"/>
      <c r="K58" s="52"/>
      <c r="L58" s="40"/>
      <c r="M58" s="54"/>
      <c r="N58" s="54"/>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row>
    <row r="59" spans="6:69" ht="20.100000000000001" customHeight="1" x14ac:dyDescent="0.15">
      <c r="F59" s="54"/>
      <c r="G59" s="54"/>
      <c r="H59" s="54"/>
      <c r="I59" s="40"/>
      <c r="J59" s="40"/>
      <c r="K59" s="52"/>
      <c r="L59" s="40"/>
      <c r="M59" s="54"/>
      <c r="N59" s="54"/>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row>
    <row r="60" spans="6:69" ht="20.100000000000001" customHeight="1" x14ac:dyDescent="0.15">
      <c r="F60" s="52"/>
      <c r="G60" s="52"/>
      <c r="H60" s="161"/>
      <c r="I60" s="123"/>
      <c r="J60" s="52"/>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row>
    <row r="61" spans="6:69" ht="20.100000000000001" customHeight="1" x14ac:dyDescent="0.15">
      <c r="F61" s="52"/>
      <c r="G61" s="52"/>
      <c r="H61" s="161"/>
      <c r="I61" s="123"/>
      <c r="J61" s="5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row>
    <row r="62" spans="6:69" ht="20.100000000000001" customHeight="1" x14ac:dyDescent="0.15">
      <c r="F62" s="52"/>
      <c r="G62" s="52"/>
      <c r="H62" s="161"/>
      <c r="I62" s="123"/>
      <c r="J62" s="5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row>
    <row r="63" spans="6:69" ht="20.100000000000001" customHeight="1" x14ac:dyDescent="0.15">
      <c r="L63" s="52"/>
      <c r="M63" s="52"/>
      <c r="N63" s="161"/>
      <c r="O63" s="123"/>
      <c r="P63" s="52"/>
      <c r="Q63" s="40"/>
      <c r="R63" s="123"/>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row>
    <row r="64" spans="6:69" ht="15" customHeight="1" x14ac:dyDescent="0.15">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row>
    <row r="65" spans="37:69" ht="15" customHeight="1" x14ac:dyDescent="0.15">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row>
    <row r="66" spans="37:69" ht="15" customHeight="1" x14ac:dyDescent="0.15">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row>
    <row r="67" spans="37:69" ht="15" customHeight="1" x14ac:dyDescent="0.15">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row>
    <row r="68" spans="37:69" ht="15" customHeight="1" x14ac:dyDescent="0.15">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row>
    <row r="69" spans="37:69" ht="15" customHeight="1" x14ac:dyDescent="0.15">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row>
    <row r="70" spans="37:69" ht="15" customHeight="1" x14ac:dyDescent="0.15">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row>
    <row r="71" spans="37:69" ht="15" customHeight="1" x14ac:dyDescent="0.15">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row>
    <row r="72" spans="37:69" ht="15" customHeight="1" x14ac:dyDescent="0.15">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row>
    <row r="73" spans="37:69" ht="15" customHeight="1" x14ac:dyDescent="0.15">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row>
    <row r="74" spans="37:69" ht="15" customHeight="1" x14ac:dyDescent="0.15">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row>
    <row r="75" spans="37:69" ht="15" customHeight="1" x14ac:dyDescent="0.15">
      <c r="AK75" s="105" t="s">
        <v>78</v>
      </c>
      <c r="BG75" s="40"/>
    </row>
    <row r="76" spans="37:69" ht="15" customHeight="1" x14ac:dyDescent="0.15">
      <c r="AK76" s="102" t="s">
        <v>71</v>
      </c>
      <c r="AL76" s="102">
        <v>9.9999999999999994E-12</v>
      </c>
      <c r="AM76" s="102">
        <v>15.000000000000099</v>
      </c>
      <c r="AN76" s="102">
        <v>20.000000000000099</v>
      </c>
      <c r="AO76" s="102">
        <v>25.000000000000099</v>
      </c>
      <c r="AP76" s="102">
        <v>30.000000000000099</v>
      </c>
      <c r="AQ76" s="102">
        <v>35.000000000000099</v>
      </c>
      <c r="AR76" s="102">
        <v>40.000000000000099</v>
      </c>
      <c r="AS76" s="102">
        <v>45.000000000000099</v>
      </c>
      <c r="AT76" s="102">
        <v>50.000000000000099</v>
      </c>
      <c r="AU76" s="102">
        <v>55.000000000000099</v>
      </c>
      <c r="AV76" s="102">
        <v>60.000000000000099</v>
      </c>
      <c r="AW76" s="102">
        <v>65.000000000000099</v>
      </c>
      <c r="AX76" s="102">
        <v>70.000000000000099</v>
      </c>
      <c r="AY76" s="102">
        <v>75.000000000000099</v>
      </c>
      <c r="AZ76" s="102">
        <v>80.000000000000099</v>
      </c>
      <c r="BA76" s="102">
        <v>85.000000000000099</v>
      </c>
      <c r="BB76" s="102">
        <v>90.000000000000099</v>
      </c>
      <c r="BC76" s="102">
        <v>95.000000000000099</v>
      </c>
      <c r="BD76" s="102">
        <v>100.0000000000001</v>
      </c>
      <c r="BE76" s="102">
        <v>105.0000000000001</v>
      </c>
      <c r="BF76" s="102">
        <v>110.0000000000001</v>
      </c>
      <c r="BG76" s="102">
        <v>115.0000000000001</v>
      </c>
      <c r="BH76" s="102">
        <v>120.0000000000001</v>
      </c>
      <c r="BI76" s="102">
        <v>125.0000000000001</v>
      </c>
      <c r="BJ76" s="102">
        <v>130.00000000000011</v>
      </c>
      <c r="BK76" s="102">
        <v>135.00000000000011</v>
      </c>
      <c r="BL76" s="102">
        <v>140.00000000000011</v>
      </c>
      <c r="BM76" s="102">
        <v>150.00000000000011</v>
      </c>
      <c r="BN76" s="102">
        <v>160.00000000000011</v>
      </c>
      <c r="BO76" s="102">
        <v>170.00000000000011</v>
      </c>
      <c r="BP76" s="102">
        <v>180.00000000000011</v>
      </c>
      <c r="BQ76" s="102">
        <v>190.00000009999999</v>
      </c>
    </row>
    <row r="77" spans="37:69" ht="15" customHeight="1" x14ac:dyDescent="0.15">
      <c r="AK77" s="102" t="s">
        <v>72</v>
      </c>
      <c r="AL77" s="184">
        <v>0.1</v>
      </c>
      <c r="AM77" s="184">
        <v>0.1</v>
      </c>
      <c r="AN77" s="184">
        <v>0.1</v>
      </c>
      <c r="AO77" s="184">
        <v>0.1</v>
      </c>
      <c r="AP77" s="184">
        <v>0.11</v>
      </c>
      <c r="AQ77" s="184">
        <v>0.13</v>
      </c>
      <c r="AR77" s="184">
        <v>0.16</v>
      </c>
      <c r="AS77" s="184">
        <v>0.19</v>
      </c>
      <c r="AT77" s="184">
        <v>0.23</v>
      </c>
      <c r="AU77" s="184">
        <v>0.27</v>
      </c>
      <c r="AV77" s="184">
        <v>0.32</v>
      </c>
      <c r="AW77" s="184">
        <v>0.37</v>
      </c>
      <c r="AX77" s="184">
        <v>0.43</v>
      </c>
      <c r="AY77" s="184">
        <v>0.5</v>
      </c>
      <c r="AZ77" s="184">
        <v>0.57000000000000006</v>
      </c>
      <c r="BA77" s="184">
        <v>0.65</v>
      </c>
      <c r="BB77" s="184">
        <v>0.74</v>
      </c>
      <c r="BC77" s="184">
        <v>0.83</v>
      </c>
      <c r="BD77" s="184">
        <v>0.93</v>
      </c>
      <c r="BE77" s="184">
        <v>1.04</v>
      </c>
      <c r="BF77" s="184">
        <v>1.1499999999999999</v>
      </c>
      <c r="BG77" s="184">
        <v>1.27</v>
      </c>
      <c r="BH77" s="184">
        <v>1.4</v>
      </c>
      <c r="BI77" s="184">
        <v>1.53</v>
      </c>
      <c r="BJ77" s="184">
        <v>1.67</v>
      </c>
      <c r="BK77" s="184">
        <v>1.82</v>
      </c>
      <c r="BL77" s="184">
        <v>2.1399999999999997</v>
      </c>
      <c r="BM77" s="184">
        <v>2.4899999999999998</v>
      </c>
      <c r="BN77" s="184">
        <v>2.86</v>
      </c>
      <c r="BO77" s="184">
        <v>3.28</v>
      </c>
      <c r="BP77" s="184">
        <v>3.72</v>
      </c>
      <c r="BQ77" s="184" t="s">
        <v>85</v>
      </c>
    </row>
    <row r="78" spans="37:69" ht="15" customHeight="1" x14ac:dyDescent="0.15">
      <c r="AK78" s="40"/>
    </row>
    <row r="79" spans="37:69" ht="15" customHeight="1" x14ac:dyDescent="0.15">
      <c r="AK79" s="40"/>
    </row>
    <row r="80" spans="37:69" ht="15" customHeight="1" x14ac:dyDescent="0.15">
      <c r="AK80" s="40"/>
    </row>
    <row r="81" spans="37:38" ht="15" customHeight="1" x14ac:dyDescent="0.15">
      <c r="AK81" s="40"/>
    </row>
    <row r="82" spans="37:38" ht="15" customHeight="1" x14ac:dyDescent="0.15">
      <c r="AK82" s="40"/>
    </row>
    <row r="83" spans="37:38" ht="15" customHeight="1" x14ac:dyDescent="0.15">
      <c r="AK83" s="40"/>
    </row>
    <row r="84" spans="37:38" ht="15" customHeight="1" x14ac:dyDescent="0.15">
      <c r="AK84" s="40"/>
    </row>
    <row r="85" spans="37:38" ht="15" customHeight="1" x14ac:dyDescent="0.15">
      <c r="AK85" s="40"/>
    </row>
    <row r="86" spans="37:38" ht="15" customHeight="1" x14ac:dyDescent="0.15">
      <c r="AK86" s="40"/>
    </row>
    <row r="87" spans="37:38" ht="15" customHeight="1" x14ac:dyDescent="0.15">
      <c r="AK87" s="40"/>
    </row>
    <row r="88" spans="37:38" ht="15" customHeight="1" x14ac:dyDescent="0.15">
      <c r="AK88" s="40"/>
    </row>
    <row r="89" spans="37:38" ht="15" customHeight="1" x14ac:dyDescent="0.15">
      <c r="AK89" s="40"/>
    </row>
    <row r="90" spans="37:38" ht="15" customHeight="1" x14ac:dyDescent="0.15">
      <c r="AK90" s="40"/>
    </row>
    <row r="91" spans="37:38" ht="15" customHeight="1" x14ac:dyDescent="0.15">
      <c r="AK91" s="102"/>
      <c r="AL91" s="102"/>
    </row>
    <row r="92" spans="37:38" ht="15" customHeight="1" x14ac:dyDescent="0.15">
      <c r="AK92" s="102" t="s">
        <v>65</v>
      </c>
      <c r="AL92" s="102" t="s">
        <v>65</v>
      </c>
    </row>
    <row r="93" spans="37:38" ht="15" customHeight="1" x14ac:dyDescent="0.15">
      <c r="AK93" s="102" t="s">
        <v>66</v>
      </c>
      <c r="AL93" s="57" t="s">
        <v>6</v>
      </c>
    </row>
    <row r="94" spans="37:38" ht="15" customHeight="1" x14ac:dyDescent="0.15">
      <c r="AK94" s="57" t="s">
        <v>6</v>
      </c>
      <c r="AL94" s="57" t="s">
        <v>67</v>
      </c>
    </row>
    <row r="95" spans="37:38" ht="15" customHeight="1" x14ac:dyDescent="0.15">
      <c r="AK95" s="57" t="s">
        <v>67</v>
      </c>
      <c r="AL95" s="57" t="s">
        <v>68</v>
      </c>
    </row>
    <row r="96" spans="37:38" ht="15" customHeight="1" x14ac:dyDescent="0.15">
      <c r="AK96" s="57" t="s">
        <v>68</v>
      </c>
      <c r="AL96" s="57" t="s">
        <v>69</v>
      </c>
    </row>
    <row r="97" spans="37:54" ht="15" customHeight="1" x14ac:dyDescent="0.15">
      <c r="AK97" s="57" t="s">
        <v>69</v>
      </c>
      <c r="AL97" s="102" t="s">
        <v>41</v>
      </c>
    </row>
    <row r="98" spans="37:54" ht="15" customHeight="1" x14ac:dyDescent="0.15">
      <c r="AK98" s="102" t="s">
        <v>41</v>
      </c>
      <c r="AL98" s="102" t="s">
        <v>70</v>
      </c>
    </row>
    <row r="99" spans="37:54" ht="15" customHeight="1" x14ac:dyDescent="0.15">
      <c r="AK99" s="102" t="s">
        <v>70</v>
      </c>
    </row>
    <row r="100" spans="37:54" ht="15" customHeight="1" x14ac:dyDescent="0.15">
      <c r="AK100" s="102" t="s">
        <v>172</v>
      </c>
    </row>
    <row r="101" spans="37:54" ht="15" customHeight="1" x14ac:dyDescent="0.15">
      <c r="AK101" s="102" t="s">
        <v>173</v>
      </c>
    </row>
    <row r="102" spans="37:54" ht="15" customHeight="1" x14ac:dyDescent="0.15">
      <c r="AK102" s="102" t="s">
        <v>174</v>
      </c>
    </row>
    <row r="103" spans="37:54" ht="15" customHeight="1" x14ac:dyDescent="0.15"/>
    <row r="104" spans="37:54" ht="15" customHeight="1" x14ac:dyDescent="0.15">
      <c r="AK104" s="105" t="s">
        <v>159</v>
      </c>
    </row>
    <row r="105" spans="37:54" ht="15" customHeight="1" x14ac:dyDescent="0.15">
      <c r="AK105" s="357" t="s">
        <v>160</v>
      </c>
      <c r="AL105" s="357" t="s">
        <v>71</v>
      </c>
      <c r="AM105" s="357"/>
      <c r="AN105" s="357">
        <v>25</v>
      </c>
      <c r="AO105" s="357">
        <v>30</v>
      </c>
      <c r="AP105" s="357">
        <v>32</v>
      </c>
      <c r="AQ105" s="357">
        <v>40</v>
      </c>
      <c r="AR105" s="357">
        <v>50</v>
      </c>
      <c r="AS105" s="231" t="s">
        <v>143</v>
      </c>
      <c r="AT105" s="51">
        <v>32</v>
      </c>
      <c r="AU105" s="59" t="s">
        <v>147</v>
      </c>
      <c r="AV105" s="60"/>
      <c r="AW105" s="60"/>
      <c r="AX105" s="60"/>
      <c r="AY105" s="229"/>
      <c r="AZ105" s="60"/>
      <c r="BA105" s="60"/>
      <c r="BB105" s="61"/>
    </row>
    <row r="106" spans="37:54" ht="15" customHeight="1" x14ac:dyDescent="0.15">
      <c r="AK106" s="423" t="s">
        <v>161</v>
      </c>
      <c r="AL106" s="424">
        <f>K11</f>
        <v>0</v>
      </c>
      <c r="AM106" s="357" t="s">
        <v>143</v>
      </c>
      <c r="AN106" s="357">
        <f>IF(AL106&lt;=25,5.7,IF(AND(AL106&gt;25,AL106&lt;=75),ROUNDUP(0.3/25*AL106+5.4,1),IF(AND(AL106&gt;75,AL106&lt;=100),ROUNDUP(0.4/25*AL106+5.1,1),ROUNDUP(0.5/25*AL106+4.7,1))))</f>
        <v>5.7</v>
      </c>
      <c r="AO106" s="357">
        <f>AP106</f>
        <v>5.5</v>
      </c>
      <c r="AP106" s="357">
        <f>IF(AL106&lt;=25,5.5,IF(AND(AL106&gt;25,AL106&lt;=100),ROUNDUP(0.8/75*AL106+5.2333,1),IF(AND(AL106&gt;100,AL106&lt;=150),ROUNDUP(0.7/50*AL106+4.9,1),ROUNDUP(1/50*AL106+4,1))))</f>
        <v>5.5</v>
      </c>
      <c r="AQ106" s="357">
        <f>IF(AL106&lt;=25,5.5,IF(AND(AL106&gt;25,AL106&lt;=100),ROUNDUP(0.7/60*AL106+5.0333,1),ROUNDUP(1/100*AL106+5.2,1)))</f>
        <v>5.5</v>
      </c>
      <c r="AR106" s="357">
        <f>IF(AL106&lt;=50,5.9,IF(AND(AL106&gt;50,AL106&lt;=100),ROUNDUP(0.1/50*AL106+5.8,1),ROUNDUP(0.5/100*AL106+5.5,1)))</f>
        <v>5.9</v>
      </c>
      <c r="AS106" s="232"/>
      <c r="AT106" s="51">
        <v>40</v>
      </c>
      <c r="AU106" s="59" t="s">
        <v>146</v>
      </c>
      <c r="AV106" s="60"/>
      <c r="AW106" s="60"/>
      <c r="AX106" s="60"/>
      <c r="AY106" s="229"/>
      <c r="AZ106" s="60"/>
      <c r="BA106" s="60"/>
      <c r="BB106" s="61"/>
    </row>
    <row r="107" spans="37:54" ht="15" customHeight="1" x14ac:dyDescent="0.15">
      <c r="AK107" s="423"/>
      <c r="AL107" s="425"/>
      <c r="AM107" s="357" t="s">
        <v>144</v>
      </c>
      <c r="AN107" s="357">
        <f>IF(AL106&lt;=30,7.1,IF(AND(AL106&gt;30,AL106&lt;=50),ROUNDUP(-0.6/20*AL106+8,1),IF(AND(AL106&gt;50,AL106&lt;=100),ROUNDUP(0.1/50*AL106+6.4,1),IF(AND(AL106&gt;100,AL106&lt;=125),ROUNDUP(0.5/25*AL106+4.6,1),ROUNDUP(1.4/25*AL106+0.1,1)))))</f>
        <v>7.1</v>
      </c>
      <c r="AO107" s="357">
        <f t="shared" ref="AO107:AO138" si="32">AP107</f>
        <v>5.9</v>
      </c>
      <c r="AP107" s="357">
        <f>IF(AL106&lt;=25,ROUNDUP(0.8/25*AL106+5.9,1),IF(AND(AL106&gt;25,AL106&lt;=50),ROUNDUP(0.4/25*AL106+6.3,1),IF(AND(AL106&gt;50,AL106&lt;=70),ROUNDUP(0.1/20*AL106+6.85,1),IF(AND(AL106&gt;70,AL106&lt;=100),ROUNDUP(-0.1/30*AL106+7.4333,1),IF(AND(AL106&gt;100,AL106&lt;=150),ROUNDUP(0.4/50*AL106+6.3,1),ROUNDUP(0.7/50*AL106+5.4,1))))))</f>
        <v>5.9</v>
      </c>
      <c r="AQ107" s="357">
        <f>IF(AL106&lt;=25,ROUNDUP(0.7/25*AL106+5.8,1),IF(AND(AL106&gt;25,AL106&lt;=50),ROUNDUP(0.4/25*AL106+6.1,1),IF(AND(AL106&gt;50,AL106&lt;=75),ROUNDUP(0.3/25*AL106+6.3,1),IF(AND(AL106&gt;75,AL106&lt;=100),ROUNDUP(0.1/25*AL106+6.9,1),IF(AND(AL106&gt;100,AL106&lt;=120),7.3,IF(AND(AL106&gt;120,AL106&lt;=160),ROUNDUP(-0.2/40*AL106+7.9,1),ROUNDUP(0.3/40*AL106+5.9,1)))))))</f>
        <v>5.8</v>
      </c>
      <c r="AR107" s="357">
        <f>IF(AL106&lt;=50,ROUNDUP(0.75/100*AL106+5.6,1),ROUNDUP(0.15/100*AL106+6.2,1))</f>
        <v>5.6</v>
      </c>
      <c r="AS107" s="233"/>
      <c r="AT107" s="51">
        <v>50</v>
      </c>
      <c r="AU107" s="59" t="s">
        <v>152</v>
      </c>
      <c r="AV107" s="60"/>
      <c r="AW107" s="60"/>
      <c r="AX107" s="60"/>
      <c r="AY107" s="229"/>
      <c r="AZ107" s="60"/>
      <c r="BA107" s="60"/>
      <c r="BB107" s="61"/>
    </row>
    <row r="108" spans="37:54" ht="15" customHeight="1" x14ac:dyDescent="0.15">
      <c r="AK108" s="423"/>
      <c r="AL108" s="426"/>
      <c r="AM108" s="357" t="s">
        <v>145</v>
      </c>
      <c r="AN108" s="357">
        <f>IF(AL106&lt;=20,6.1,IF(AND(AL106&gt;20,AL106&lt;=50),ROUNDUP(0.4/30*AL106+5.8333,1),IF(AND(AL106&gt;50,AL106&lt;=100),ROUNDUP(0.4/50*AL106+6.1,1),ROUNDUP(3.3/150*AL106+4.7,1))))</f>
        <v>6.1</v>
      </c>
      <c r="AO108" s="357">
        <f t="shared" si="32"/>
        <v>5.6</v>
      </c>
      <c r="AP108" s="357">
        <f>IF(AL106&lt;=8,5.6,IF(AND(AL106&gt;8,AL106&lt;=17),ROUNDUP(0.3/9*AL106+5.3333,1),IF(AND(AL106&gt;17,AL106&lt;=135),ROUNDUP(0.4/118*AL106+5.8423,1),ROUNDUP(1.1/65*AL106+4.0153,1))))</f>
        <v>5.6</v>
      </c>
      <c r="AQ108" s="357">
        <f>IF(AL106&lt;=8,5.6,IF(AND(AL106&gt;8,AL106&lt;=10),ROUNDUP(0.3/2*AL106+4.4,1),IF(AND(AL106&gt;10,AL106&lt;=17),ROUNDUP(0.1/7*AL106+5.7571,1),IF(AND(AL106&gt;17,AL106&lt;=50),ROUNDUP(0.3/33*AL106+5.8454,1),IF(AND(AL106&gt;50,AL106&lt;=150),ROUNDUP(0.3/100*AL106+6.15,1),ROUNDUP(0.2/50*AL106+6,1))))))</f>
        <v>5.6</v>
      </c>
      <c r="AR108" s="357">
        <f>IF(AL106&lt;=10,5.5,IF(AND(AL106&gt;10,AL106&lt;=68),ROUNDUP(0.7/58*AL106+5.3793,1),IF(AND(AL106&gt;68,AL106&lt;=138),ROUNDUP(0.4/70*AL106+5.8114,1),ROUNDUP(0.1/62*AL106+6.3774,1))))</f>
        <v>5.5</v>
      </c>
      <c r="AS108" s="234" t="s">
        <v>144</v>
      </c>
      <c r="AT108" s="51">
        <v>32</v>
      </c>
      <c r="AU108" s="59" t="s">
        <v>153</v>
      </c>
      <c r="AV108" s="60"/>
      <c r="AW108" s="60"/>
      <c r="AX108" s="60"/>
      <c r="AY108" s="229"/>
      <c r="AZ108" s="60"/>
      <c r="BA108" s="60"/>
      <c r="BB108" s="61"/>
    </row>
    <row r="109" spans="37:54" ht="15" customHeight="1" x14ac:dyDescent="0.15">
      <c r="AK109" s="423" t="s">
        <v>162</v>
      </c>
      <c r="AL109" s="424">
        <f t="shared" ref="AL109" si="33">K14</f>
        <v>0</v>
      </c>
      <c r="AM109" s="357" t="s">
        <v>143</v>
      </c>
      <c r="AN109" s="357">
        <f t="shared" ref="AN109" si="34">IF(AL109&lt;=25,5.7,IF(AND(AL109&gt;25,AL109&lt;=75),ROUNDUP(0.3/25*AL109+5.4,1),IF(AND(AL109&gt;75,AL109&lt;=100),ROUNDUP(0.4/25*AL109+5.1,1),ROUNDUP(0.5/25*AL109+4.7,1))))</f>
        <v>5.7</v>
      </c>
      <c r="AO109" s="357">
        <f t="shared" si="32"/>
        <v>5.5</v>
      </c>
      <c r="AP109" s="357">
        <f>IF(AL109&lt;=25,5.5,IF(AND(AL109&gt;25,AL109&lt;=100),ROUNDUP(0.8/75*AL109+5.2333,1),IF(AND(AL109&gt;100,AL109&lt;=150),ROUNDUP(0.7/50*AL109+4.9,1),ROUNDUP(1/50*AL109+4,1))))</f>
        <v>5.5</v>
      </c>
      <c r="AQ109" s="357">
        <f>IF(AL109&lt;=25,5.5,IF(AND(AL109&gt;25,AL109&lt;=100),ROUNDUP(0.7/60*AL109+5.0333,1),ROUNDUP(1/100*AL109+5.2,1)))</f>
        <v>5.5</v>
      </c>
      <c r="AR109" s="357">
        <f>IF(AL109&lt;=50,5.9,IF(AND(AL109&gt;50,AL109&lt;=100),ROUNDUP(0.1/50*AL109+5.8,1),ROUNDUP(0.5/100*AL109+5.5,1)))</f>
        <v>5.9</v>
      </c>
      <c r="AS109" s="235"/>
      <c r="AT109" s="51">
        <v>40</v>
      </c>
      <c r="AU109" s="59" t="s">
        <v>154</v>
      </c>
      <c r="AV109" s="60"/>
      <c r="AW109" s="60"/>
      <c r="AX109" s="60"/>
      <c r="AY109" s="229"/>
      <c r="AZ109" s="60"/>
      <c r="BA109" s="60"/>
      <c r="BB109" s="61"/>
    </row>
    <row r="110" spans="37:54" ht="15" customHeight="1" x14ac:dyDescent="0.15">
      <c r="AK110" s="423"/>
      <c r="AL110" s="425"/>
      <c r="AM110" s="357" t="s">
        <v>144</v>
      </c>
      <c r="AN110" s="357">
        <f t="shared" ref="AN110" si="35">IF(AL109&lt;=30,7.1,IF(AND(AL109&gt;30,AL109&lt;=50),ROUNDUP(-0.6/20*AL109+8,1),IF(AND(AL109&gt;50,AL109&lt;=100),ROUNDUP(0.1/50*AL109+6.4,1),IF(AND(AL109&gt;100,AL109&lt;=125),ROUNDUP(0.5/25*AL109+4.6,1),ROUNDUP(1.4/25*AL109+0.1,1)))))</f>
        <v>7.1</v>
      </c>
      <c r="AO110" s="357">
        <f t="shared" si="32"/>
        <v>5.9</v>
      </c>
      <c r="AP110" s="357">
        <f>IF(AL109&lt;=25,ROUNDUP(0.8/25*AL109+5.9,1),IF(AND(AL109&gt;25,AL109&lt;=50),ROUNDUP(0.4/25*AL109+6.3,1),IF(AND(AL109&gt;50,AL109&lt;=70),ROUNDUP(0.1/20*AL109+6.85,1),IF(AND(AL109&gt;70,AL109&lt;=100),ROUNDUP(-0.1/30*AL109+7.4333,1),IF(AND(AL109&gt;100,AL109&lt;=150),ROUNDUP(0.4/50*AL109+6.3,1),ROUNDUP(0.7/50*AL109+5.4,1))))))</f>
        <v>5.9</v>
      </c>
      <c r="AQ110" s="357">
        <f>IF(AL109&lt;=25,ROUNDUP(0.7/25*AL109+5.8,1),IF(AND(AL109&gt;25,AL109&lt;=50),ROUNDUP(0.4/25*AL109+6.1,1),IF(AND(AL109&gt;50,AL109&lt;=75),ROUNDUP(0.3/25*AL109+6.3,1),IF(AND(AL109&gt;75,AL109&lt;=100),ROUNDUP(0.1/25*AL109+6.9,1),IF(AND(AL109&gt;100,AL109&lt;=120),7.3,IF(AND(AL109&gt;120,AL109&lt;=160),ROUNDUP(-0.2/40*AL109+7.9,1),ROUNDUP(0.3/40*AL109+5.9,1)))))))</f>
        <v>5.8</v>
      </c>
      <c r="AR110" s="357">
        <f>IF(AL109&lt;=50,ROUNDUP(0.75/100*AL109+5.6,1),ROUNDUP(0.15/100*AL109+6.2,1))</f>
        <v>5.6</v>
      </c>
      <c r="AS110" s="236"/>
      <c r="AT110" s="51">
        <v>50</v>
      </c>
      <c r="AU110" s="59" t="s">
        <v>155</v>
      </c>
      <c r="AV110" s="60"/>
      <c r="AW110" s="60"/>
      <c r="AX110" s="60"/>
      <c r="AY110" s="229"/>
      <c r="AZ110" s="60"/>
      <c r="BA110" s="60"/>
      <c r="BB110" s="61"/>
    </row>
    <row r="111" spans="37:54" ht="15" customHeight="1" x14ac:dyDescent="0.15">
      <c r="AK111" s="423"/>
      <c r="AL111" s="426"/>
      <c r="AM111" s="357" t="s">
        <v>145</v>
      </c>
      <c r="AN111" s="357">
        <f t="shared" ref="AN111" si="36">IF(AL109&lt;=20,6.1,IF(AND(AL109&gt;20,AL109&lt;=50),ROUNDUP(0.4/30*AL109+5.8333,1),IF(AND(AL109&gt;50,AL109&lt;=100),ROUNDUP(0.4/50*AL109+6.1,1),ROUNDUP(3.3/150*AL109+4.7,1))))</f>
        <v>6.1</v>
      </c>
      <c r="AO111" s="357">
        <f t="shared" si="32"/>
        <v>5.6</v>
      </c>
      <c r="AP111" s="357">
        <f>IF(AL109&lt;=8,5.6,IF(AND(AL109&gt;8,AL109&lt;=17),ROUNDUP(0.3/9*AL109+5.3333,1),IF(AND(AL109&gt;17,AL109&lt;=135),ROUNDUP(0.4/118*AL109+5.8423,1),ROUNDUP(1.1/65*AL109+4.0153,1))))</f>
        <v>5.6</v>
      </c>
      <c r="AQ111" s="357">
        <f>IF(AL109&lt;=8,5.6,IF(AND(AL109&gt;8,AL109&lt;=10),ROUNDUP(0.3/2*AL109+4.4,1),IF(AND(AL109&gt;10,AL109&lt;=17),ROUNDUP(0.1/7*AL109+5.7571,1),IF(AND(AL109&gt;17,AL109&lt;=50),ROUNDUP(0.3/33*AL109+5.8454,1),IF(AND(AL109&gt;50,AL109&lt;=150),ROUNDUP(0.3/100*AL109+6.15,1),ROUNDUP(0.2/50*AL109+6,1))))))</f>
        <v>5.6</v>
      </c>
      <c r="AR111" s="357">
        <f>IF(AL109&lt;=10,5.5,IF(AND(AL109&gt;10,AL109&lt;=68),ROUNDUP(0.7/58*AL109+5.3793,1),IF(AND(AL109&gt;68,AL109&lt;=138),ROUNDUP(0.4/70*AL109+5.8114,1),ROUNDUP(0.1/62*AL109+6.3774,1))))</f>
        <v>5.5</v>
      </c>
      <c r="AS111" s="234" t="s">
        <v>145</v>
      </c>
      <c r="AT111" s="51">
        <v>32</v>
      </c>
      <c r="AU111" s="59" t="s">
        <v>148</v>
      </c>
      <c r="AV111" s="60"/>
      <c r="AW111" s="60"/>
      <c r="AX111" s="60"/>
      <c r="AY111" s="229"/>
      <c r="AZ111" s="60"/>
      <c r="BA111" s="60"/>
      <c r="BB111" s="61"/>
    </row>
    <row r="112" spans="37:54" ht="15" customHeight="1" x14ac:dyDescent="0.15">
      <c r="AK112" s="423" t="s">
        <v>163</v>
      </c>
      <c r="AL112" s="424">
        <f t="shared" ref="AL112" si="37">K17</f>
        <v>0</v>
      </c>
      <c r="AM112" s="357" t="s">
        <v>143</v>
      </c>
      <c r="AN112" s="357">
        <f t="shared" ref="AN112" si="38">IF(AL112&lt;=25,5.7,IF(AND(AL112&gt;25,AL112&lt;=75),ROUNDUP(0.3/25*AL112+5.4,1),IF(AND(AL112&gt;75,AL112&lt;=100),ROUNDUP(0.4/25*AL112+5.1,1),ROUNDUP(0.5/25*AL112+4.7,1))))</f>
        <v>5.7</v>
      </c>
      <c r="AO112" s="357">
        <f t="shared" si="32"/>
        <v>5.5</v>
      </c>
      <c r="AP112" s="357">
        <f>IF(AL112&lt;=25,5.5,IF(AND(AL112&gt;25,AL112&lt;=100),ROUNDUP(0.8/75*AL112+5.2333,1),IF(AND(AL112&gt;100,AL112&lt;=150),ROUNDUP(0.7/50*AL112+4.9,1),ROUNDUP(1/50*AL112+4,1))))</f>
        <v>5.5</v>
      </c>
      <c r="AQ112" s="357">
        <f>IF(AL112&lt;=25,5.5,IF(AND(AL112&gt;25,AL112&lt;=100),ROUNDUP(0.7/60*AL112+5.0333,1),ROUNDUP(1/100*AL112+5.2,1)))</f>
        <v>5.5</v>
      </c>
      <c r="AR112" s="357">
        <f>IF(AL112&lt;=50,5.9,IF(AND(AL112&gt;50,AL112&lt;=100),ROUNDUP(0.1/50*AL112+5.8,1),ROUNDUP(0.5/100*AL112+5.5,1)))</f>
        <v>5.9</v>
      </c>
      <c r="AS112" s="235"/>
      <c r="AT112" s="51">
        <v>40</v>
      </c>
      <c r="AU112" s="59" t="s">
        <v>149</v>
      </c>
      <c r="AV112" s="60"/>
      <c r="AW112" s="60"/>
      <c r="AX112" s="60"/>
      <c r="AY112" s="229"/>
      <c r="AZ112" s="60"/>
      <c r="BA112" s="60"/>
      <c r="BB112" s="61"/>
    </row>
    <row r="113" spans="37:54" ht="15" customHeight="1" x14ac:dyDescent="0.15">
      <c r="AK113" s="423"/>
      <c r="AL113" s="425"/>
      <c r="AM113" s="357" t="s">
        <v>144</v>
      </c>
      <c r="AN113" s="357">
        <f t="shared" ref="AN113" si="39">IF(AL112&lt;=30,7.1,IF(AND(AL112&gt;30,AL112&lt;=50),ROUNDUP(-0.6/20*AL112+8,1),IF(AND(AL112&gt;50,AL112&lt;=100),ROUNDUP(0.1/50*AL112+6.4,1),IF(AND(AL112&gt;100,AL112&lt;=125),ROUNDUP(0.5/25*AL112+4.6,1),ROUNDUP(1.4/25*AL112+0.1,1)))))</f>
        <v>7.1</v>
      </c>
      <c r="AO113" s="357">
        <f t="shared" si="32"/>
        <v>5.9</v>
      </c>
      <c r="AP113" s="357">
        <f>IF(AL112&lt;=25,ROUNDUP(0.8/25*AL112+5.9,1),IF(AND(AL112&gt;25,AL112&lt;=50),ROUNDUP(0.4/25*AL112+6.3,1),IF(AND(AL112&gt;50,AL112&lt;=70),ROUNDUP(0.1/20*AL112+6.85,1),IF(AND(AL112&gt;70,AL112&lt;=100),ROUNDUP(-0.1/30*AL112+7.4333,1),IF(AND(AL112&gt;100,AL112&lt;=150),ROUNDUP(0.4/50*AL112+6.3,1),ROUNDUP(0.7/50*AL112+5.4,1))))))</f>
        <v>5.9</v>
      </c>
      <c r="AQ113" s="357">
        <f>IF(AL112&lt;=25,ROUNDUP(0.7/25*AL112+5.8,1),IF(AND(AL112&gt;25,AL112&lt;=50),ROUNDUP(0.4/25*AL112+6.1,1),IF(AND(AL112&gt;50,AL112&lt;=75),ROUNDUP(0.3/25*AL112+6.3,1),IF(AND(AL112&gt;75,AL112&lt;=100),ROUNDUP(0.1/25*AL112+6.9,1),IF(AND(AL112&gt;100,AL112&lt;=120),7.3,IF(AND(AL112&gt;120,AL112&lt;=160),ROUNDUP(-0.2/40*AL112+7.9,1),ROUNDUP(0.3/40*AL112+5.9,1)))))))</f>
        <v>5.8</v>
      </c>
      <c r="AR113" s="357">
        <f>IF(AL112&lt;=50,ROUNDUP(0.75/100*AL112+5.6,1),ROUNDUP(0.15/100*AL112+6.2,1))</f>
        <v>5.6</v>
      </c>
      <c r="AS113" s="236"/>
      <c r="AT113" s="51">
        <v>50</v>
      </c>
      <c r="AU113" s="59" t="s">
        <v>150</v>
      </c>
      <c r="AV113" s="60"/>
      <c r="AW113" s="60"/>
      <c r="AX113" s="60"/>
      <c r="AY113" s="229"/>
      <c r="AZ113" s="60"/>
      <c r="BA113" s="60"/>
      <c r="BB113" s="61"/>
    </row>
    <row r="114" spans="37:54" ht="15" customHeight="1" x14ac:dyDescent="0.15">
      <c r="AK114" s="423"/>
      <c r="AL114" s="426"/>
      <c r="AM114" s="357" t="s">
        <v>145</v>
      </c>
      <c r="AN114" s="357">
        <f t="shared" ref="AN114" si="40">IF(AL112&lt;=20,6.1,IF(AND(AL112&gt;20,AL112&lt;=50),ROUNDUP(0.4/30*AL112+5.8333,1),IF(AND(AL112&gt;50,AL112&lt;=100),ROUNDUP(0.4/50*AL112+6.1,1),ROUNDUP(3.3/150*AL112+4.7,1))))</f>
        <v>6.1</v>
      </c>
      <c r="AO114" s="357">
        <f t="shared" si="32"/>
        <v>5.6</v>
      </c>
      <c r="AP114" s="357">
        <f>IF(AL112&lt;=8,5.6,IF(AND(AL112&gt;8,AL112&lt;=17),ROUNDUP(0.3/9*AL112+5.3333,1),IF(AND(AL112&gt;17,AL112&lt;=135),ROUNDUP(0.4/118*AL112+5.8423,1),ROUNDUP(1.1/65*AL112+4.0153,1))))</f>
        <v>5.6</v>
      </c>
      <c r="AQ114" s="357">
        <f>IF(AL112&lt;=8,5.6,IF(AND(AL112&gt;8,AL112&lt;=10),ROUNDUP(0.3/2*AL112+4.4,1),IF(AND(AL112&gt;10,AL112&lt;=17),ROUNDUP(0.1/7*AL112+5.7571,1),IF(AND(AL112&gt;17,AL112&lt;=50),ROUNDUP(0.3/33*AL112+5.8454,1),IF(AND(AL112&gt;50,AL112&lt;=150),ROUNDUP(0.3/100*AL112+6.15,1),ROUNDUP(0.2/50*AL112+6,1))))))</f>
        <v>5.6</v>
      </c>
      <c r="AR114" s="357">
        <f>IF(AL112&lt;=10,5.5,IF(AND(AL112&gt;10,AL112&lt;=68),ROUNDUP(0.7/58*AL112+5.3793,1),IF(AND(AL112&gt;68,AL112&lt;=138),ROUNDUP(0.4/70*AL112+5.8114,1),ROUNDUP(0.1/62*AL112+6.3774,1))))</f>
        <v>5.5</v>
      </c>
      <c r="BB114" s="50"/>
    </row>
    <row r="115" spans="37:54" x14ac:dyDescent="0.15">
      <c r="AK115" s="423" t="s">
        <v>164</v>
      </c>
      <c r="AL115" s="424">
        <f t="shared" ref="AL115" si="41">K20</f>
        <v>0</v>
      </c>
      <c r="AM115" s="357" t="s">
        <v>143</v>
      </c>
      <c r="AN115" s="357">
        <f t="shared" ref="AN115" si="42">IF(AL115&lt;=25,5.7,IF(AND(AL115&gt;25,AL115&lt;=75),ROUNDUP(0.3/25*AL115+5.4,1),IF(AND(AL115&gt;75,AL115&lt;=100),ROUNDUP(0.4/25*AL115+5.1,1),ROUNDUP(0.5/25*AL115+4.7,1))))</f>
        <v>5.7</v>
      </c>
      <c r="AO115" s="357">
        <f t="shared" si="32"/>
        <v>5.5</v>
      </c>
      <c r="AP115" s="357">
        <f>IF(AL115&lt;=25,5.5,IF(AND(AL115&gt;25,AL115&lt;=100),ROUNDUP(0.8/75*AL115+5.2333,1),IF(AND(AL115&gt;100,AL115&lt;=150),ROUNDUP(0.7/50*AL115+4.9,1),ROUNDUP(1/50*AL115+4,1))))</f>
        <v>5.5</v>
      </c>
      <c r="AQ115" s="357">
        <f>IF(AL115&lt;=25,5.5,IF(AND(AL115&gt;25,AL115&lt;=100),ROUNDUP(0.7/60*AL115+5.0333,1),ROUNDUP(1/100*AL115+5.2,1)))</f>
        <v>5.5</v>
      </c>
      <c r="AR115" s="357">
        <f>IF(AL115&lt;=50,5.9,IF(AND(AL115&gt;50,AL115&lt;=100),ROUNDUP(0.1/50*AL115+5.8,1),ROUNDUP(0.5/100*AL115+5.5,1)))</f>
        <v>5.9</v>
      </c>
      <c r="BB115" s="50"/>
    </row>
    <row r="116" spans="37:54" x14ac:dyDescent="0.15">
      <c r="AK116" s="423"/>
      <c r="AL116" s="425"/>
      <c r="AM116" s="357" t="s">
        <v>144</v>
      </c>
      <c r="AN116" s="357">
        <f t="shared" ref="AN116" si="43">IF(AL115&lt;=30,7.1,IF(AND(AL115&gt;30,AL115&lt;=50),ROUNDUP(-0.6/20*AL115+8,1),IF(AND(AL115&gt;50,AL115&lt;=100),ROUNDUP(0.1/50*AL115+6.4,1),IF(AND(AL115&gt;100,AL115&lt;=125),ROUNDUP(0.5/25*AL115+4.6,1),ROUNDUP(1.4/25*AL115+0.1,1)))))</f>
        <v>7.1</v>
      </c>
      <c r="AO116" s="357">
        <f t="shared" si="32"/>
        <v>5.9</v>
      </c>
      <c r="AP116" s="357">
        <f>IF(AL115&lt;=25,ROUNDUP(0.8/25*AL115+5.9,1),IF(AND(AL115&gt;25,AL115&lt;=50),ROUNDUP(0.4/25*AL115+6.3,1),IF(AND(AL115&gt;50,AL115&lt;=70),ROUNDUP(0.1/20*AL115+6.85,1),IF(AND(AL115&gt;70,AL115&lt;=100),ROUNDUP(-0.1/30*AL115+7.4333,1),IF(AND(AL115&gt;100,AL115&lt;=150),ROUNDUP(0.4/50*AL115+6.3,1),ROUNDUP(0.7/50*AL115+5.4,1))))))</f>
        <v>5.9</v>
      </c>
      <c r="AQ116" s="357">
        <f>IF(AL115&lt;=25,ROUNDUP(0.7/25*AL115+5.8,1),IF(AND(AL115&gt;25,AL115&lt;=50),ROUNDUP(0.4/25*AL115+6.1,1),IF(AND(AL115&gt;50,AL115&lt;=75),ROUNDUP(0.3/25*AL115+6.3,1),IF(AND(AL115&gt;75,AL115&lt;=100),ROUNDUP(0.1/25*AL115+6.9,1),IF(AND(AL115&gt;100,AL115&lt;=120),7.3,IF(AND(AL115&gt;120,AL115&lt;=160),ROUNDUP(-0.2/40*AL115+7.9,1),ROUNDUP(0.3/40*AL115+5.9,1)))))))</f>
        <v>5.8</v>
      </c>
      <c r="AR116" s="357">
        <f>IF(AL115&lt;=50,ROUNDUP(0.75/100*AL115+5.6,1),ROUNDUP(0.15/100*AL115+6.2,1))</f>
        <v>5.6</v>
      </c>
      <c r="BB116" s="50"/>
    </row>
    <row r="117" spans="37:54" x14ac:dyDescent="0.15">
      <c r="AK117" s="423"/>
      <c r="AL117" s="426"/>
      <c r="AM117" s="357" t="s">
        <v>145</v>
      </c>
      <c r="AN117" s="357">
        <f t="shared" ref="AN117" si="44">IF(AL115&lt;=20,6.1,IF(AND(AL115&gt;20,AL115&lt;=50),ROUNDUP(0.4/30*AL115+5.8333,1),IF(AND(AL115&gt;50,AL115&lt;=100),ROUNDUP(0.4/50*AL115+6.1,1),ROUNDUP(3.3/150*AL115+4.7,1))))</f>
        <v>6.1</v>
      </c>
      <c r="AO117" s="357">
        <f t="shared" si="32"/>
        <v>5.6</v>
      </c>
      <c r="AP117" s="357">
        <f>IF(AL115&lt;=8,5.6,IF(AND(AL115&gt;8,AL115&lt;=17),ROUNDUP(0.3/9*AL115+5.3333,1),IF(AND(AL115&gt;17,AL115&lt;=135),ROUNDUP(0.4/118*AL115+5.8423,1),ROUNDUP(1.1/65*AL115+4.0153,1))))</f>
        <v>5.6</v>
      </c>
      <c r="AQ117" s="357">
        <f>IF(AL115&lt;=8,5.6,IF(AND(AL115&gt;8,AL115&lt;=10),ROUNDUP(0.3/2*AL115+4.4,1),IF(AND(AL115&gt;10,AL115&lt;=17),ROUNDUP(0.1/7*AL115+5.7571,1),IF(AND(AL115&gt;17,AL115&lt;=50),ROUNDUP(0.3/33*AL115+5.8454,1),IF(AND(AL115&gt;50,AL115&lt;=150),ROUNDUP(0.3/100*AL115+6.15,1),ROUNDUP(0.2/50*AL115+6,1))))))</f>
        <v>5.6</v>
      </c>
      <c r="AR117" s="357">
        <f>IF(AL115&lt;=10,5.5,IF(AND(AL115&gt;10,AL115&lt;=68),ROUNDUP(0.7/58*AL115+5.3793,1),IF(AND(AL115&gt;68,AL115&lt;=138),ROUNDUP(0.4/70*AL115+5.8114,1),ROUNDUP(0.1/62*AL115+6.3774,1))))</f>
        <v>5.5</v>
      </c>
      <c r="BB117" s="50"/>
    </row>
    <row r="118" spans="37:54" x14ac:dyDescent="0.15">
      <c r="AK118" s="423" t="s">
        <v>165</v>
      </c>
      <c r="AL118" s="424">
        <f t="shared" ref="AL118" si="45">K23</f>
        <v>0</v>
      </c>
      <c r="AM118" s="357" t="s">
        <v>143</v>
      </c>
      <c r="AN118" s="357">
        <f t="shared" ref="AN118" si="46">IF(AL118&lt;=25,5.7,IF(AND(AL118&gt;25,AL118&lt;=75),ROUNDUP(0.3/25*AL118+5.4,1),IF(AND(AL118&gt;75,AL118&lt;=100),ROUNDUP(0.4/25*AL118+5.1,1),ROUNDUP(0.5/25*AL118+4.7,1))))</f>
        <v>5.7</v>
      </c>
      <c r="AO118" s="357">
        <f t="shared" si="32"/>
        <v>5.5</v>
      </c>
      <c r="AP118" s="357">
        <f>IF(AL118&lt;=25,5.5,IF(AND(AL118&gt;25,AL118&lt;=100),ROUNDUP(0.8/75*AL118+5.2333,1),IF(AND(AL118&gt;100,AL118&lt;=150),ROUNDUP(0.7/50*AL118+4.9,1),ROUNDUP(1/50*AL118+4,1))))</f>
        <v>5.5</v>
      </c>
      <c r="AQ118" s="357">
        <f>IF(AL118&lt;=25,5.5,IF(AND(AL118&gt;25,AL118&lt;=100),ROUNDUP(0.7/60*AL118+5.0333,1),ROUNDUP(1/100*AL118+5.2,1)))</f>
        <v>5.5</v>
      </c>
      <c r="AR118" s="357">
        <f>IF(AL118&lt;=50,5.9,IF(AND(AL118&gt;50,AL118&lt;=100),ROUNDUP(0.1/50*AL118+5.8,1),ROUNDUP(0.5/100*AL118+5.5,1)))</f>
        <v>5.9</v>
      </c>
      <c r="BB118" s="50"/>
    </row>
    <row r="119" spans="37:54" x14ac:dyDescent="0.15">
      <c r="AK119" s="423"/>
      <c r="AL119" s="425"/>
      <c r="AM119" s="357" t="s">
        <v>144</v>
      </c>
      <c r="AN119" s="357">
        <f t="shared" ref="AN119" si="47">IF(AL118&lt;=30,7.1,IF(AND(AL118&gt;30,AL118&lt;=50),ROUNDUP(-0.6/20*AL118+8,1),IF(AND(AL118&gt;50,AL118&lt;=100),ROUNDUP(0.1/50*AL118+6.4,1),IF(AND(AL118&gt;100,AL118&lt;=125),ROUNDUP(0.5/25*AL118+4.6,1),ROUNDUP(1.4/25*AL118+0.1,1)))))</f>
        <v>7.1</v>
      </c>
      <c r="AO119" s="357">
        <f t="shared" si="32"/>
        <v>5.9</v>
      </c>
      <c r="AP119" s="357">
        <f>IF(AL118&lt;=25,ROUNDUP(0.8/25*AL118+5.9,1),IF(AND(AL118&gt;25,AL118&lt;=50),ROUNDUP(0.4/25*AL118+6.3,1),IF(AND(AL118&gt;50,AL118&lt;=70),ROUNDUP(0.1/20*AL118+6.85,1),IF(AND(AL118&gt;70,AL118&lt;=100),ROUNDUP(-0.1/30*AL118+7.4333,1),IF(AND(AL118&gt;100,AL118&lt;=150),ROUNDUP(0.4/50*AL118+6.3,1),ROUNDUP(0.7/50*AL118+5.4,1))))))</f>
        <v>5.9</v>
      </c>
      <c r="AQ119" s="357">
        <f>IF(AL118&lt;=25,ROUNDUP(0.7/25*AL118+5.8,1),IF(AND(AL118&gt;25,AL118&lt;=50),ROUNDUP(0.4/25*AL118+6.1,1),IF(AND(AL118&gt;50,AL118&lt;=75),ROUNDUP(0.3/25*AL118+6.3,1),IF(AND(AL118&gt;75,AL118&lt;=100),ROUNDUP(0.1/25*AL118+6.9,1),IF(AND(AL118&gt;100,AL118&lt;=120),7.3,IF(AND(AL118&gt;120,AL118&lt;=160),ROUNDUP(-0.2/40*AL118+7.9,1),ROUNDUP(0.3/40*AL118+5.9,1)))))))</f>
        <v>5.8</v>
      </c>
      <c r="AR119" s="357">
        <f>IF(AL118&lt;=50,ROUNDUP(0.75/100*AL118+5.6,1),ROUNDUP(0.15/100*AL118+6.2,1))</f>
        <v>5.6</v>
      </c>
      <c r="BB119" s="50"/>
    </row>
    <row r="120" spans="37:54" x14ac:dyDescent="0.15">
      <c r="AK120" s="423"/>
      <c r="AL120" s="426"/>
      <c r="AM120" s="357" t="s">
        <v>145</v>
      </c>
      <c r="AN120" s="357">
        <f t="shared" ref="AN120" si="48">IF(AL118&lt;=20,6.1,IF(AND(AL118&gt;20,AL118&lt;=50),ROUNDUP(0.4/30*AL118+5.8333,1),IF(AND(AL118&gt;50,AL118&lt;=100),ROUNDUP(0.4/50*AL118+6.1,1),ROUNDUP(3.3/150*AL118+4.7,1))))</f>
        <v>6.1</v>
      </c>
      <c r="AO120" s="357">
        <f t="shared" si="32"/>
        <v>5.6</v>
      </c>
      <c r="AP120" s="357">
        <f>IF(AL118&lt;=8,5.6,IF(AND(AL118&gt;8,AL118&lt;=17),ROUNDUP(0.3/9*AL118+5.3333,1),IF(AND(AL118&gt;17,AL118&lt;=135),ROUNDUP(0.4/118*AL118+5.8423,1),ROUNDUP(1.1/65*AL118+4.0153,1))))</f>
        <v>5.6</v>
      </c>
      <c r="AQ120" s="357">
        <f>IF(AL118&lt;=8,5.6,IF(AND(AL118&gt;8,AL118&lt;=10),ROUNDUP(0.3/2*AL118+4.4,1),IF(AND(AL118&gt;10,AL118&lt;=17),ROUNDUP(0.1/7*AL118+5.7571,1),IF(AND(AL118&gt;17,AL118&lt;=50),ROUNDUP(0.3/33*AL118+5.8454,1),IF(AND(AL118&gt;50,AL118&lt;=150),ROUNDUP(0.3/100*AL118+6.15,1),ROUNDUP(0.2/50*AL118+6,1))))))</f>
        <v>5.6</v>
      </c>
      <c r="AR120" s="357">
        <f>IF(AL118&lt;=10,5.5,IF(AND(AL118&gt;10,AL118&lt;=68),ROUNDUP(0.7/58*AL118+5.3793,1),IF(AND(AL118&gt;68,AL118&lt;=138),ROUNDUP(0.4/70*AL118+5.8114,1),ROUNDUP(0.1/62*AL118+6.3774,1))))</f>
        <v>5.5</v>
      </c>
      <c r="BB120" s="50"/>
    </row>
    <row r="121" spans="37:54" x14ac:dyDescent="0.15">
      <c r="AK121" s="423" t="s">
        <v>166</v>
      </c>
      <c r="AL121" s="424">
        <f t="shared" ref="AL121" si="49">K26</f>
        <v>0</v>
      </c>
      <c r="AM121" s="357" t="s">
        <v>143</v>
      </c>
      <c r="AN121" s="357">
        <f t="shared" ref="AN121" si="50">IF(AL121&lt;=25,5.7,IF(AND(AL121&gt;25,AL121&lt;=75),ROUNDUP(0.3/25*AL121+5.4,1),IF(AND(AL121&gt;75,AL121&lt;=100),ROUNDUP(0.4/25*AL121+5.1,1),ROUNDUP(0.5/25*AL121+4.7,1))))</f>
        <v>5.7</v>
      </c>
      <c r="AO121" s="357">
        <f t="shared" si="32"/>
        <v>5.5</v>
      </c>
      <c r="AP121" s="357">
        <f>IF(AL121&lt;=25,5.5,IF(AND(AL121&gt;25,AL121&lt;=100),ROUNDUP(0.8/75*AL121+5.2333,1),IF(AND(AL121&gt;100,AL121&lt;=150),ROUNDUP(0.7/50*AL121+4.9,1),ROUNDUP(1/50*AL121+4,1))))</f>
        <v>5.5</v>
      </c>
      <c r="AQ121" s="357">
        <f>IF(AL121&lt;=25,5.5,IF(AND(AL121&gt;25,AL121&lt;=100),ROUNDUP(0.7/60*AL121+5.0333,1),ROUNDUP(1/100*AL121+5.2,1)))</f>
        <v>5.5</v>
      </c>
      <c r="AR121" s="357">
        <f>IF(AL121&lt;=50,5.9,IF(AND(AL121&gt;50,AL121&lt;=100),ROUNDUP(0.1/50*AL121+5.8,1),ROUNDUP(0.5/100*AL121+5.5,1)))</f>
        <v>5.9</v>
      </c>
      <c r="BB121" s="50"/>
    </row>
    <row r="122" spans="37:54" x14ac:dyDescent="0.15">
      <c r="AK122" s="423"/>
      <c r="AL122" s="425"/>
      <c r="AM122" s="357" t="s">
        <v>144</v>
      </c>
      <c r="AN122" s="357">
        <f t="shared" ref="AN122" si="51">IF(AL121&lt;=30,7.1,IF(AND(AL121&gt;30,AL121&lt;=50),ROUNDUP(-0.6/20*AL121+8,1),IF(AND(AL121&gt;50,AL121&lt;=100),ROUNDUP(0.1/50*AL121+6.4,1),IF(AND(AL121&gt;100,AL121&lt;=125),ROUNDUP(0.5/25*AL121+4.6,1),ROUNDUP(1.4/25*AL121+0.1,1)))))</f>
        <v>7.1</v>
      </c>
      <c r="AO122" s="357">
        <f t="shared" si="32"/>
        <v>5.9</v>
      </c>
      <c r="AP122" s="357">
        <f>IF(AL121&lt;=25,ROUNDUP(0.8/25*AL121+5.9,1),IF(AND(AL121&gt;25,AL121&lt;=50),ROUNDUP(0.4/25*AL121+6.3,1),IF(AND(AL121&gt;50,AL121&lt;=70),ROUNDUP(0.1/20*AL121+6.85,1),IF(AND(AL121&gt;70,AL121&lt;=100),ROUNDUP(-0.1/30*AL121+7.4333,1),IF(AND(AL121&gt;100,AL121&lt;=150),ROUNDUP(0.4/50*AL121+6.3,1),ROUNDUP(0.7/50*AL121+5.4,1))))))</f>
        <v>5.9</v>
      </c>
      <c r="AQ122" s="357">
        <f>IF(AL121&lt;=25,ROUNDUP(0.7/25*AL121+5.8,1),IF(AND(AL121&gt;25,AL121&lt;=50),ROUNDUP(0.4/25*AL121+6.1,1),IF(AND(AL121&gt;50,AL121&lt;=75),ROUNDUP(0.3/25*AL121+6.3,1),IF(AND(AL121&gt;75,AL121&lt;=100),ROUNDUP(0.1/25*AL121+6.9,1),IF(AND(AL121&gt;100,AL121&lt;=120),7.3,IF(AND(AL121&gt;120,AL121&lt;=160),ROUNDUP(-0.2/40*AL121+7.9,1),ROUNDUP(0.3/40*AL121+5.9,1)))))))</f>
        <v>5.8</v>
      </c>
      <c r="AR122" s="357">
        <f>IF(AL121&lt;=50,ROUNDUP(0.75/100*AL121+5.6,1),ROUNDUP(0.15/100*AL121+6.2,1))</f>
        <v>5.6</v>
      </c>
      <c r="BB122" s="50"/>
    </row>
    <row r="123" spans="37:54" x14ac:dyDescent="0.15">
      <c r="AK123" s="423"/>
      <c r="AL123" s="426"/>
      <c r="AM123" s="357" t="s">
        <v>145</v>
      </c>
      <c r="AN123" s="357">
        <f t="shared" ref="AN123" si="52">IF(AL121&lt;=20,6.1,IF(AND(AL121&gt;20,AL121&lt;=50),ROUNDUP(0.4/30*AL121+5.8333,1),IF(AND(AL121&gt;50,AL121&lt;=100),ROUNDUP(0.4/50*AL121+6.1,1),ROUNDUP(3.3/150*AL121+4.7,1))))</f>
        <v>6.1</v>
      </c>
      <c r="AO123" s="357">
        <f t="shared" si="32"/>
        <v>5.6</v>
      </c>
      <c r="AP123" s="357">
        <f>IF(AL121&lt;=8,5.6,IF(AND(AL121&gt;8,AL121&lt;=17),ROUNDUP(0.3/9*AL121+5.3333,1),IF(AND(AL121&gt;17,AL121&lt;=135),ROUNDUP(0.4/118*AL121+5.8423,1),ROUNDUP(1.1/65*AL121+4.0153,1))))</f>
        <v>5.6</v>
      </c>
      <c r="AQ123" s="357">
        <f>IF(AL121&lt;=8,5.6,IF(AND(AL121&gt;8,AL121&lt;=10),ROUNDUP(0.3/2*AL121+4.4,1),IF(AND(AL121&gt;10,AL121&lt;=17),ROUNDUP(0.1/7*AL121+5.7571,1),IF(AND(AL121&gt;17,AL121&lt;=50),ROUNDUP(0.3/33*AL121+5.8454,1),IF(AND(AL121&gt;50,AL121&lt;=150),ROUNDUP(0.3/100*AL121+6.15,1),ROUNDUP(0.2/50*AL121+6,1))))))</f>
        <v>5.6</v>
      </c>
      <c r="AR123" s="357">
        <f>IF(AL121&lt;=10,5.5,IF(AND(AL121&gt;10,AL121&lt;=68),ROUNDUP(0.7/58*AL121+5.3793,1),IF(AND(AL121&gt;68,AL121&lt;=138),ROUNDUP(0.4/70*AL121+5.8114,1),ROUNDUP(0.1/62*AL121+6.3774,1))))</f>
        <v>5.5</v>
      </c>
      <c r="BB123" s="50"/>
    </row>
    <row r="124" spans="37:54" x14ac:dyDescent="0.15">
      <c r="AK124" s="423" t="s">
        <v>167</v>
      </c>
      <c r="AL124" s="424">
        <f t="shared" ref="AL124" si="53">K29</f>
        <v>0</v>
      </c>
      <c r="AM124" s="357" t="s">
        <v>143</v>
      </c>
      <c r="AN124" s="357">
        <f t="shared" ref="AN124" si="54">IF(AL124&lt;=25,5.7,IF(AND(AL124&gt;25,AL124&lt;=75),ROUNDUP(0.3/25*AL124+5.4,1),IF(AND(AL124&gt;75,AL124&lt;=100),ROUNDUP(0.4/25*AL124+5.1,1),ROUNDUP(0.5/25*AL124+4.7,1))))</f>
        <v>5.7</v>
      </c>
      <c r="AO124" s="357">
        <f t="shared" si="32"/>
        <v>5.5</v>
      </c>
      <c r="AP124" s="357">
        <f>IF(AL124&lt;=25,5.5,IF(AND(AL124&gt;25,AL124&lt;=100),ROUNDUP(0.8/75*AL124+5.2333,1),IF(AND(AL124&gt;100,AL124&lt;=150),ROUNDUP(0.7/50*AL124+4.9,1),ROUNDUP(1/50*AL124+4,1))))</f>
        <v>5.5</v>
      </c>
      <c r="AQ124" s="357">
        <f>IF(AL124&lt;=25,5.5,IF(AND(AL124&gt;25,AL124&lt;=100),ROUNDUP(0.7/60*AL124+5.0333,1),ROUNDUP(1/100*AL124+5.2,1)))</f>
        <v>5.5</v>
      </c>
      <c r="AR124" s="357">
        <f>IF(AL124&lt;=50,5.9,IF(AND(AL124&gt;50,AL124&lt;=100),ROUNDUP(0.1/50*AL124+5.8,1),ROUNDUP(0.5/100*AL124+5.5,1)))</f>
        <v>5.9</v>
      </c>
      <c r="BB124" s="50"/>
    </row>
    <row r="125" spans="37:54" x14ac:dyDescent="0.15">
      <c r="AK125" s="423"/>
      <c r="AL125" s="425"/>
      <c r="AM125" s="357" t="s">
        <v>144</v>
      </c>
      <c r="AN125" s="357">
        <f t="shared" ref="AN125" si="55">IF(AL124&lt;=30,7.1,IF(AND(AL124&gt;30,AL124&lt;=50),ROUNDUP(-0.6/20*AL124+8,1),IF(AND(AL124&gt;50,AL124&lt;=100),ROUNDUP(0.1/50*AL124+6.4,1),IF(AND(AL124&gt;100,AL124&lt;=125),ROUNDUP(0.5/25*AL124+4.6,1),ROUNDUP(1.4/25*AL124+0.1,1)))))</f>
        <v>7.1</v>
      </c>
      <c r="AO125" s="357">
        <f t="shared" si="32"/>
        <v>5.9</v>
      </c>
      <c r="AP125" s="357">
        <f>IF(AL124&lt;=25,ROUNDUP(0.8/25*AL124+5.9,1),IF(AND(AL124&gt;25,AL124&lt;=50),ROUNDUP(0.4/25*AL124+6.3,1),IF(AND(AL124&gt;50,AL124&lt;=70),ROUNDUP(0.1/20*AL124+6.85,1),IF(AND(AL124&gt;70,AL124&lt;=100),ROUNDUP(-0.1/30*AL124+7.4333,1),IF(AND(AL124&gt;100,AL124&lt;=150),ROUNDUP(0.4/50*AL124+6.3,1),ROUNDUP(0.7/50*AL124+5.4,1))))))</f>
        <v>5.9</v>
      </c>
      <c r="AQ125" s="357">
        <f>IF(AL124&lt;=25,ROUNDUP(0.7/25*AL124+5.8,1),IF(AND(AL124&gt;25,AL124&lt;=50),ROUNDUP(0.4/25*AL124+6.1,1),IF(AND(AL124&gt;50,AL124&lt;=75),ROUNDUP(0.3/25*AL124+6.3,1),IF(AND(AL124&gt;75,AL124&lt;=100),ROUNDUP(0.1/25*AL124+6.9,1),IF(AND(AL124&gt;100,AL124&lt;=120),7.3,IF(AND(AL124&gt;120,AL124&lt;=160),ROUNDUP(-0.2/40*AL124+7.9,1),ROUNDUP(0.3/40*AL124+5.9,1)))))))</f>
        <v>5.8</v>
      </c>
      <c r="AR125" s="357">
        <f>IF(AL124&lt;=50,ROUNDUP(0.75/100*AL124+5.6,1),ROUNDUP(0.15/100*AL124+6.2,1))</f>
        <v>5.6</v>
      </c>
      <c r="BB125" s="50"/>
    </row>
    <row r="126" spans="37:54" x14ac:dyDescent="0.15">
      <c r="AK126" s="423"/>
      <c r="AL126" s="426"/>
      <c r="AM126" s="357" t="s">
        <v>145</v>
      </c>
      <c r="AN126" s="357">
        <f t="shared" ref="AN126" si="56">IF(AL124&lt;=20,6.1,IF(AND(AL124&gt;20,AL124&lt;=50),ROUNDUP(0.4/30*AL124+5.8333,1),IF(AND(AL124&gt;50,AL124&lt;=100),ROUNDUP(0.4/50*AL124+6.1,1),ROUNDUP(3.3/150*AL124+4.7,1))))</f>
        <v>6.1</v>
      </c>
      <c r="AO126" s="357">
        <f t="shared" si="32"/>
        <v>5.6</v>
      </c>
      <c r="AP126" s="357">
        <f>IF(AL124&lt;=8,5.6,IF(AND(AL124&gt;8,AL124&lt;=17),ROUNDUP(0.3/9*AL124+5.3333,1),IF(AND(AL124&gt;17,AL124&lt;=135),ROUNDUP(0.4/118*AL124+5.8423,1),ROUNDUP(1.1/65*AL124+4.0153,1))))</f>
        <v>5.6</v>
      </c>
      <c r="AQ126" s="357">
        <f>IF(AL124&lt;=8,5.6,IF(AND(AL124&gt;8,AL124&lt;=10),ROUNDUP(0.3/2*AL124+4.4,1),IF(AND(AL124&gt;10,AL124&lt;=17),ROUNDUP(0.1/7*AL124+5.7571,1),IF(AND(AL124&gt;17,AL124&lt;=50),ROUNDUP(0.3/33*AL124+5.8454,1),IF(AND(AL124&gt;50,AL124&lt;=150),ROUNDUP(0.3/100*AL124+6.15,1),ROUNDUP(0.2/50*AL124+6,1))))))</f>
        <v>5.6</v>
      </c>
      <c r="AR126" s="357">
        <f>IF(AL124&lt;=10,5.5,IF(AND(AL124&gt;10,AL124&lt;=68),ROUNDUP(0.7/58*AL124+5.3793,1),IF(AND(AL124&gt;68,AL124&lt;=138),ROUNDUP(0.4/70*AL124+5.8114,1),ROUNDUP(0.1/62*AL124+6.3774,1))))</f>
        <v>5.5</v>
      </c>
      <c r="BB126" s="50"/>
    </row>
    <row r="127" spans="37:54" x14ac:dyDescent="0.15">
      <c r="AK127" s="423" t="s">
        <v>168</v>
      </c>
      <c r="AL127" s="424">
        <f t="shared" ref="AL127" si="57">K32</f>
        <v>0</v>
      </c>
      <c r="AM127" s="357" t="s">
        <v>143</v>
      </c>
      <c r="AN127" s="357">
        <f t="shared" ref="AN127" si="58">IF(AL127&lt;=25,5.7,IF(AND(AL127&gt;25,AL127&lt;=75),ROUNDUP(0.3/25*AL127+5.4,1),IF(AND(AL127&gt;75,AL127&lt;=100),ROUNDUP(0.4/25*AL127+5.1,1),ROUNDUP(0.5/25*AL127+4.7,1))))</f>
        <v>5.7</v>
      </c>
      <c r="AO127" s="357">
        <f t="shared" si="32"/>
        <v>5.5</v>
      </c>
      <c r="AP127" s="357">
        <f>IF(AL127&lt;=25,5.5,IF(AND(AL127&gt;25,AL127&lt;=100),ROUNDUP(0.8/75*AL127+5.2333,1),IF(AND(AL127&gt;100,AL127&lt;=150),ROUNDUP(0.7/50*AL127+4.9,1),ROUNDUP(1/50*AL127+4,1))))</f>
        <v>5.5</v>
      </c>
      <c r="AQ127" s="357">
        <f>IF(AL127&lt;=25,5.5,IF(AND(AL127&gt;25,AL127&lt;=100),ROUNDUP(0.7/60*AL127+5.0333,1),ROUNDUP(1/100*AL127+5.2,1)))</f>
        <v>5.5</v>
      </c>
      <c r="AR127" s="357">
        <f>IF(AL127&lt;=50,5.9,IF(AND(AL127&gt;50,AL127&lt;=100),ROUNDUP(0.1/50*AL127+5.8,1),ROUNDUP(0.5/100*AL127+5.5,1)))</f>
        <v>5.9</v>
      </c>
      <c r="BB127" s="50"/>
    </row>
    <row r="128" spans="37:54" x14ac:dyDescent="0.15">
      <c r="AK128" s="423"/>
      <c r="AL128" s="425"/>
      <c r="AM128" s="357" t="s">
        <v>144</v>
      </c>
      <c r="AN128" s="357">
        <f t="shared" ref="AN128" si="59">IF(AL127&lt;=30,7.1,IF(AND(AL127&gt;30,AL127&lt;=50),ROUNDUP(-0.6/20*AL127+8,1),IF(AND(AL127&gt;50,AL127&lt;=100),ROUNDUP(0.1/50*AL127+6.4,1),IF(AND(AL127&gt;100,AL127&lt;=125),ROUNDUP(0.5/25*AL127+4.6,1),ROUNDUP(1.4/25*AL127+0.1,1)))))</f>
        <v>7.1</v>
      </c>
      <c r="AO128" s="357">
        <f t="shared" si="32"/>
        <v>5.9</v>
      </c>
      <c r="AP128" s="357">
        <f>IF(AL127&lt;=25,ROUNDUP(0.8/25*AL127+5.9,1),IF(AND(AL127&gt;25,AL127&lt;=50),ROUNDUP(0.4/25*AL127+6.3,1),IF(AND(AL127&gt;50,AL127&lt;=70),ROUNDUP(0.1/20*AL127+6.85,1),IF(AND(AL127&gt;70,AL127&lt;=100),ROUNDUP(-0.1/30*AL127+7.4333,1),IF(AND(AL127&gt;100,AL127&lt;=150),ROUNDUP(0.4/50*AL127+6.3,1),ROUNDUP(0.7/50*AL127+5.4,1))))))</f>
        <v>5.9</v>
      </c>
      <c r="AQ128" s="357">
        <f>IF(AL127&lt;=25,ROUNDUP(0.7/25*AL127+5.8,1),IF(AND(AL127&gt;25,AL127&lt;=50),ROUNDUP(0.4/25*AL127+6.1,1),IF(AND(AL127&gt;50,AL127&lt;=75),ROUNDUP(0.3/25*AL127+6.3,1),IF(AND(AL127&gt;75,AL127&lt;=100),ROUNDUP(0.1/25*AL127+6.9,1),IF(AND(AL127&gt;100,AL127&lt;=120),7.3,IF(AND(AL127&gt;120,AL127&lt;=160),ROUNDUP(-0.2/40*AL127+7.9,1),ROUNDUP(0.3/40*AL127+5.9,1)))))))</f>
        <v>5.8</v>
      </c>
      <c r="AR128" s="357">
        <f>IF(AL127&lt;=50,ROUNDUP(0.75/100*AL127+5.6,1),ROUNDUP(0.15/100*AL127+6.2,1))</f>
        <v>5.6</v>
      </c>
      <c r="BB128" s="50"/>
    </row>
    <row r="129" spans="37:54" x14ac:dyDescent="0.15">
      <c r="AK129" s="423"/>
      <c r="AL129" s="426"/>
      <c r="AM129" s="357" t="s">
        <v>145</v>
      </c>
      <c r="AN129" s="357">
        <f t="shared" ref="AN129" si="60">IF(AL127&lt;=20,6.1,IF(AND(AL127&gt;20,AL127&lt;=50),ROUNDUP(0.4/30*AL127+5.8333,1),IF(AND(AL127&gt;50,AL127&lt;=100),ROUNDUP(0.4/50*AL127+6.1,1),ROUNDUP(3.3/150*AL127+4.7,1))))</f>
        <v>6.1</v>
      </c>
      <c r="AO129" s="357">
        <f t="shared" si="32"/>
        <v>5.6</v>
      </c>
      <c r="AP129" s="357">
        <f>IF(AL127&lt;=8,5.6,IF(AND(AL127&gt;8,AL127&lt;=17),ROUNDUP(0.3/9*AL127+5.3333,1),IF(AND(AL127&gt;17,AL127&lt;=135),ROUNDUP(0.4/118*AL127+5.8423,1),ROUNDUP(1.1/65*AL127+4.0153,1))))</f>
        <v>5.6</v>
      </c>
      <c r="AQ129" s="357">
        <f>IF(AL127&lt;=8,5.6,IF(AND(AL127&gt;8,AL127&lt;=10),ROUNDUP(0.3/2*AL127+4.4,1),IF(AND(AL127&gt;10,AL127&lt;=17),ROUNDUP(0.1/7*AL127+5.7571,1),IF(AND(AL127&gt;17,AL127&lt;=50),ROUNDUP(0.3/33*AL127+5.8454,1),IF(AND(AL127&gt;50,AL127&lt;=150),ROUNDUP(0.3/100*AL127+6.15,1),ROUNDUP(0.2/50*AL127+6,1))))))</f>
        <v>5.6</v>
      </c>
      <c r="AR129" s="357">
        <f>IF(AL127&lt;=10,5.5,IF(AND(AL127&gt;10,AL127&lt;=68),ROUNDUP(0.7/58*AL127+5.3793,1),IF(AND(AL127&gt;68,AL127&lt;=138),ROUNDUP(0.4/70*AL127+5.8114,1),ROUNDUP(0.1/62*AL127+6.3774,1))))</f>
        <v>5.5</v>
      </c>
      <c r="BB129" s="50"/>
    </row>
    <row r="130" spans="37:54" x14ac:dyDescent="0.15">
      <c r="AK130" s="423" t="s">
        <v>169</v>
      </c>
      <c r="AL130" s="424">
        <f t="shared" ref="AL130" si="61">K35</f>
        <v>0</v>
      </c>
      <c r="AM130" s="357" t="s">
        <v>143</v>
      </c>
      <c r="AN130" s="357">
        <f t="shared" ref="AN130" si="62">IF(AL130&lt;=25,5.7,IF(AND(AL130&gt;25,AL130&lt;=75),ROUNDUP(0.3/25*AL130+5.4,1),IF(AND(AL130&gt;75,AL130&lt;=100),ROUNDUP(0.4/25*AL130+5.1,1),ROUNDUP(0.5/25*AL130+4.7,1))))</f>
        <v>5.7</v>
      </c>
      <c r="AO130" s="357">
        <f t="shared" si="32"/>
        <v>5.5</v>
      </c>
      <c r="AP130" s="357">
        <f>IF(AL130&lt;=25,5.5,IF(AND(AL130&gt;25,AL130&lt;=100),ROUNDUP(0.8/75*AL130+5.2333,1),IF(AND(AL130&gt;100,AL130&lt;=150),ROUNDUP(0.7/50*AL130+4.9,1),ROUNDUP(1/50*AL130+4,1))))</f>
        <v>5.5</v>
      </c>
      <c r="AQ130" s="357">
        <f>IF(AL130&lt;=25,5.5,IF(AND(AL130&gt;25,AL130&lt;=100),ROUNDUP(0.7/60*AL130+5.0333,1),ROUNDUP(1/100*AL130+5.2,1)))</f>
        <v>5.5</v>
      </c>
      <c r="AR130" s="357">
        <f>IF(AL130&lt;=50,5.9,IF(AND(AL130&gt;50,AL130&lt;=100),ROUNDUP(0.1/50*AL130+5.8,1),ROUNDUP(0.5/100*AL130+5.5,1)))</f>
        <v>5.9</v>
      </c>
      <c r="BB130" s="50"/>
    </row>
    <row r="131" spans="37:54" x14ac:dyDescent="0.15">
      <c r="AK131" s="423"/>
      <c r="AL131" s="425"/>
      <c r="AM131" s="357" t="s">
        <v>144</v>
      </c>
      <c r="AN131" s="357">
        <f t="shared" ref="AN131" si="63">IF(AL130&lt;=30,7.1,IF(AND(AL130&gt;30,AL130&lt;=50),ROUNDUP(-0.6/20*AL130+8,1),IF(AND(AL130&gt;50,AL130&lt;=100),ROUNDUP(0.1/50*AL130+6.4,1),IF(AND(AL130&gt;100,AL130&lt;=125),ROUNDUP(0.5/25*AL130+4.6,1),ROUNDUP(1.4/25*AL130+0.1,1)))))</f>
        <v>7.1</v>
      </c>
      <c r="AO131" s="357">
        <f t="shared" si="32"/>
        <v>5.9</v>
      </c>
      <c r="AP131" s="357">
        <f>IF(AL130&lt;=25,ROUNDUP(0.8/25*AL130+5.9,1),IF(AND(AL130&gt;25,AL130&lt;=50),ROUNDUP(0.4/25*AL130+6.3,1),IF(AND(AL130&gt;50,AL130&lt;=70),ROUNDUP(0.1/20*AL130+6.85,1),IF(AND(AL130&gt;70,AL130&lt;=100),ROUNDUP(-0.1/30*AL130+7.4333,1),IF(AND(AL130&gt;100,AL130&lt;=150),ROUNDUP(0.4/50*AL130+6.3,1),ROUNDUP(0.7/50*AL130+5.4,1))))))</f>
        <v>5.9</v>
      </c>
      <c r="AQ131" s="357">
        <f>IF(AL130&lt;=25,ROUNDUP(0.7/25*AL130+5.8,1),IF(AND(AL130&gt;25,AL130&lt;=50),ROUNDUP(0.4/25*AL130+6.1,1),IF(AND(AL130&gt;50,AL130&lt;=75),ROUNDUP(0.3/25*AL130+6.3,1),IF(AND(AL130&gt;75,AL130&lt;=100),ROUNDUP(0.1/25*AL130+6.9,1),IF(AND(AL130&gt;100,AL130&lt;=120),7.3,IF(AND(AL130&gt;120,AL130&lt;=160),ROUNDUP(-0.2/40*AL130+7.9,1),ROUNDUP(0.3/40*AL130+5.9,1)))))))</f>
        <v>5.8</v>
      </c>
      <c r="AR131" s="357">
        <f>IF(AL130&lt;=50,ROUNDUP(0.75/100*AL130+5.6,1),ROUNDUP(0.15/100*AL130+6.2,1))</f>
        <v>5.6</v>
      </c>
      <c r="BB131" s="50"/>
    </row>
    <row r="132" spans="37:54" x14ac:dyDescent="0.15">
      <c r="AK132" s="423"/>
      <c r="AL132" s="426"/>
      <c r="AM132" s="357" t="s">
        <v>145</v>
      </c>
      <c r="AN132" s="357">
        <f t="shared" ref="AN132" si="64">IF(AL130&lt;=20,6.1,IF(AND(AL130&gt;20,AL130&lt;=50),ROUNDUP(0.4/30*AL130+5.8333,1),IF(AND(AL130&gt;50,AL130&lt;=100),ROUNDUP(0.4/50*AL130+6.1,1),ROUNDUP(3.3/150*AL130+4.7,1))))</f>
        <v>6.1</v>
      </c>
      <c r="AO132" s="357">
        <f t="shared" si="32"/>
        <v>5.6</v>
      </c>
      <c r="AP132" s="357">
        <f>IF(AL130&lt;=8,5.6,IF(AND(AL130&gt;8,AL130&lt;=17),ROUNDUP(0.3/9*AL130+5.3333,1),IF(AND(AL130&gt;17,AL130&lt;=135),ROUNDUP(0.4/118*AL130+5.8423,1),ROUNDUP(1.1/65*AL130+4.0153,1))))</f>
        <v>5.6</v>
      </c>
      <c r="AQ132" s="357">
        <f>IF(AL130&lt;=8,5.6,IF(AND(AL130&gt;8,AL130&lt;=10),ROUNDUP(0.3/2*AL130+4.4,1),IF(AND(AL130&gt;10,AL130&lt;=17),ROUNDUP(0.1/7*AL130+5.7571,1),IF(AND(AL130&gt;17,AL130&lt;=50),ROUNDUP(0.3/33*AL130+5.8454,1),IF(AND(AL130&gt;50,AL130&lt;=150),ROUNDUP(0.3/100*AL130+6.15,1),ROUNDUP(0.2/50*AL130+6,1))))))</f>
        <v>5.6</v>
      </c>
      <c r="AR132" s="357">
        <f>IF(AL130&lt;=10,5.5,IF(AND(AL130&gt;10,AL130&lt;=68),ROUNDUP(0.7/58*AL130+5.3793,1),IF(AND(AL130&gt;68,AL130&lt;=138),ROUNDUP(0.4/70*AL130+5.8114,1),ROUNDUP(0.1/62*AL130+6.3774,1))))</f>
        <v>5.5</v>
      </c>
      <c r="BB132" s="50"/>
    </row>
    <row r="133" spans="37:54" x14ac:dyDescent="0.15">
      <c r="AK133" s="423" t="s">
        <v>170</v>
      </c>
      <c r="AL133" s="424">
        <f t="shared" ref="AL133" si="65">K38</f>
        <v>0</v>
      </c>
      <c r="AM133" s="357" t="s">
        <v>143</v>
      </c>
      <c r="AN133" s="357">
        <f t="shared" ref="AN133" si="66">IF(AL133&lt;=25,5.7,IF(AND(AL133&gt;25,AL133&lt;=75),ROUNDUP(0.3/25*AL133+5.4,1),IF(AND(AL133&gt;75,AL133&lt;=100),ROUNDUP(0.4/25*AL133+5.1,1),ROUNDUP(0.5/25*AL133+4.7,1))))</f>
        <v>5.7</v>
      </c>
      <c r="AO133" s="357">
        <f t="shared" si="32"/>
        <v>5.5</v>
      </c>
      <c r="AP133" s="357">
        <f>IF(AL133&lt;=25,5.5,IF(AND(AL133&gt;25,AL133&lt;=100),ROUNDUP(0.8/75*AL133+5.2333,1),IF(AND(AL133&gt;100,AL133&lt;=150),ROUNDUP(0.7/50*AL133+4.9,1),ROUNDUP(1/50*AL133+4,1))))</f>
        <v>5.5</v>
      </c>
      <c r="AQ133" s="357">
        <f>IF(AL133&lt;=25,5.5,IF(AND(AL133&gt;25,AL133&lt;=100),ROUNDUP(0.7/60*AL133+5.0333,1),ROUNDUP(1/100*AL133+5.2,1)))</f>
        <v>5.5</v>
      </c>
      <c r="AR133" s="357">
        <f>IF(AL133&lt;=50,5.9,IF(AND(AL133&gt;50,AL133&lt;=100),ROUNDUP(0.1/50*AL133+5.8,1),ROUNDUP(0.5/100*AL133+5.5,1)))</f>
        <v>5.9</v>
      </c>
      <c r="BB133" s="50"/>
    </row>
    <row r="134" spans="37:54" x14ac:dyDescent="0.15">
      <c r="AK134" s="423"/>
      <c r="AL134" s="425"/>
      <c r="AM134" s="357" t="s">
        <v>144</v>
      </c>
      <c r="AN134" s="357">
        <f t="shared" ref="AN134" si="67">IF(AL133&lt;=30,7.1,IF(AND(AL133&gt;30,AL133&lt;=50),ROUNDUP(-0.6/20*AL133+8,1),IF(AND(AL133&gt;50,AL133&lt;=100),ROUNDUP(0.1/50*AL133+6.4,1),IF(AND(AL133&gt;100,AL133&lt;=125),ROUNDUP(0.5/25*AL133+4.6,1),ROUNDUP(1.4/25*AL133+0.1,1)))))</f>
        <v>7.1</v>
      </c>
      <c r="AO134" s="357">
        <f t="shared" si="32"/>
        <v>5.9</v>
      </c>
      <c r="AP134" s="357">
        <f>IF(AL133&lt;=25,ROUNDUP(0.8/25*AL133+5.9,1),IF(AND(AL133&gt;25,AL133&lt;=50),ROUNDUP(0.4/25*AL133+6.3,1),IF(AND(AL133&gt;50,AL133&lt;=70),ROUNDUP(0.1/20*AL133+6.85,1),IF(AND(AL133&gt;70,AL133&lt;=100),ROUNDUP(-0.1/30*AL133+7.4333,1),IF(AND(AL133&gt;100,AL133&lt;=150),ROUNDUP(0.4/50*AL133+6.3,1),ROUNDUP(0.7/50*AL133+5.4,1))))))</f>
        <v>5.9</v>
      </c>
      <c r="AQ134" s="357">
        <f>IF(AL133&lt;=25,ROUNDUP(0.7/25*AL133+5.8,1),IF(AND(AL133&gt;25,AL133&lt;=50),ROUNDUP(0.4/25*AL133+6.1,1),IF(AND(AL133&gt;50,AL133&lt;=75),ROUNDUP(0.3/25*AL133+6.3,1),IF(AND(AL133&gt;75,AL133&lt;=100),ROUNDUP(0.1/25*AL133+6.9,1),IF(AND(AL133&gt;100,AL133&lt;=120),7.3,IF(AND(AL133&gt;120,AL133&lt;=160),ROUNDUP(-0.2/40*AL133+7.9,1),ROUNDUP(0.3/40*AL133+5.9,1)))))))</f>
        <v>5.8</v>
      </c>
      <c r="AR134" s="357">
        <f>IF(AL133&lt;=50,ROUNDUP(0.75/100*AL133+5.6,1),ROUNDUP(0.15/100*AL133+6.2,1))</f>
        <v>5.6</v>
      </c>
      <c r="BB134" s="50"/>
    </row>
    <row r="135" spans="37:54" x14ac:dyDescent="0.15">
      <c r="AK135" s="423"/>
      <c r="AL135" s="426"/>
      <c r="AM135" s="357" t="s">
        <v>145</v>
      </c>
      <c r="AN135" s="357">
        <f t="shared" ref="AN135" si="68">IF(AL133&lt;=20,6.1,IF(AND(AL133&gt;20,AL133&lt;=50),ROUNDUP(0.4/30*AL133+5.8333,1),IF(AND(AL133&gt;50,AL133&lt;=100),ROUNDUP(0.4/50*AL133+6.1,1),ROUNDUP(3.3/150*AL133+4.7,1))))</f>
        <v>6.1</v>
      </c>
      <c r="AO135" s="357">
        <f t="shared" si="32"/>
        <v>5.6</v>
      </c>
      <c r="AP135" s="357">
        <f>IF(AL133&lt;=8,5.6,IF(AND(AL133&gt;8,AL133&lt;=17),ROUNDUP(0.3/9*AL133+5.3333,1),IF(AND(AL133&gt;17,AL133&lt;=135),ROUNDUP(0.4/118*AL133+5.8423,1),ROUNDUP(1.1/65*AL133+4.0153,1))))</f>
        <v>5.6</v>
      </c>
      <c r="AQ135" s="357">
        <f>IF(AL133&lt;=8,5.6,IF(AND(AL133&gt;8,AL133&lt;=10),ROUNDUP(0.3/2*AL133+4.4,1),IF(AND(AL133&gt;10,AL133&lt;=17),ROUNDUP(0.1/7*AL133+5.7571,1),IF(AND(AL133&gt;17,AL133&lt;=50),ROUNDUP(0.3/33*AL133+5.8454,1),IF(AND(AL133&gt;50,AL133&lt;=150),ROUNDUP(0.3/100*AL133+6.15,1),ROUNDUP(0.2/50*AL133+6,1))))))</f>
        <v>5.6</v>
      </c>
      <c r="AR135" s="357">
        <f>IF(AL133&lt;=10,5.5,IF(AND(AL133&gt;10,AL133&lt;=68),ROUNDUP(0.7/58*AL133+5.3793,1),IF(AND(AL133&gt;68,AL133&lt;=138),ROUNDUP(0.4/70*AL133+5.8114,1),ROUNDUP(0.1/62*AL133+6.3774,1))))</f>
        <v>5.5</v>
      </c>
      <c r="BB135" s="50"/>
    </row>
    <row r="136" spans="37:54" x14ac:dyDescent="0.15">
      <c r="AK136" s="423" t="s">
        <v>171</v>
      </c>
      <c r="AL136" s="424">
        <f t="shared" ref="AL136" si="69">K41</f>
        <v>0</v>
      </c>
      <c r="AM136" s="357" t="s">
        <v>143</v>
      </c>
      <c r="AN136" s="357">
        <f t="shared" ref="AN136" si="70">IF(AL136&lt;=25,5.7,IF(AND(AL136&gt;25,AL136&lt;=75),ROUNDUP(0.3/25*AL136+5.4,1),IF(AND(AL136&gt;75,AL136&lt;=100),ROUNDUP(0.4/25*AL136+5.1,1),ROUNDUP(0.5/25*AL136+4.7,1))))</f>
        <v>5.7</v>
      </c>
      <c r="AO136" s="357">
        <f t="shared" si="32"/>
        <v>5.5</v>
      </c>
      <c r="AP136" s="357">
        <f>IF(AL136&lt;=25,5.5,IF(AND(AL136&gt;25,AL136&lt;=100),ROUNDUP(0.8/75*AL136+5.2333,1),IF(AND(AL136&gt;100,AL136&lt;=150),ROUNDUP(0.7/50*AL136+4.9,1),ROUNDUP(1/50*AL136+4,1))))</f>
        <v>5.5</v>
      </c>
      <c r="AQ136" s="357">
        <f>IF(AL136&lt;=25,5.5,IF(AND(AL136&gt;25,AL136&lt;=100),ROUNDUP(0.7/60*AL136+5.0333,1),ROUNDUP(1/100*AL136+5.2,1)))</f>
        <v>5.5</v>
      </c>
      <c r="AR136" s="357">
        <f>IF(AL136&lt;=50,5.9,IF(AND(AL136&gt;50,AL136&lt;=100),ROUNDUP(0.1/50*AL136+5.8,1),ROUNDUP(0.5/100*AL136+5.5,1)))</f>
        <v>5.9</v>
      </c>
      <c r="BB136" s="50"/>
    </row>
    <row r="137" spans="37:54" x14ac:dyDescent="0.15">
      <c r="AK137" s="423"/>
      <c r="AL137" s="425"/>
      <c r="AM137" s="357" t="s">
        <v>144</v>
      </c>
      <c r="AN137" s="357">
        <f t="shared" ref="AN137" si="71">IF(AL136&lt;=30,7.1,IF(AND(AL136&gt;30,AL136&lt;=50),ROUNDUP(-0.6/20*AL136+8,1),IF(AND(AL136&gt;50,AL136&lt;=100),ROUNDUP(0.1/50*AL136+6.4,1),IF(AND(AL136&gt;100,AL136&lt;=125),ROUNDUP(0.5/25*AL136+4.6,1),ROUNDUP(1.4/25*AL136+0.1,1)))))</f>
        <v>7.1</v>
      </c>
      <c r="AO137" s="357">
        <f t="shared" si="32"/>
        <v>5.9</v>
      </c>
      <c r="AP137" s="357">
        <f>IF(AL136&lt;=25,ROUNDUP(0.8/25*AL136+5.9,1),IF(AND(AL136&gt;25,AL136&lt;=50),ROUNDUP(0.4/25*AL136+6.3,1),IF(AND(AL136&gt;50,AL136&lt;=70),ROUNDUP(0.1/20*AL136+6.85,1),IF(AND(AL136&gt;70,AL136&lt;=100),ROUNDUP(-0.1/30*AL136+7.4333,1),IF(AND(AL136&gt;100,AL136&lt;=150),ROUNDUP(0.4/50*AL136+6.3,1),ROUNDUP(0.7/50*AL136+5.4,1))))))</f>
        <v>5.9</v>
      </c>
      <c r="AQ137" s="357">
        <f>IF(AL136&lt;=25,ROUNDUP(0.7/25*AL136+5.8,1),IF(AND(AL136&gt;25,AL136&lt;=50),ROUNDUP(0.4/25*AL136+6.1,1),IF(AND(AL136&gt;50,AL136&lt;=75),ROUNDUP(0.3/25*AL136+6.3,1),IF(AND(AL136&gt;75,AL136&lt;=100),ROUNDUP(0.1/25*AL136+6.9,1),IF(AND(AL136&gt;100,AL136&lt;=120),7.3,IF(AND(AL136&gt;120,AL136&lt;=160),ROUNDUP(-0.2/40*AL136+7.9,1),ROUNDUP(0.3/40*AL136+5.9,1)))))))</f>
        <v>5.8</v>
      </c>
      <c r="AR137" s="357">
        <f>IF(AL136&lt;=50,ROUNDUP(0.75/100*AL136+5.6,1),ROUNDUP(0.15/100*AL136+6.2,1))</f>
        <v>5.6</v>
      </c>
      <c r="BB137" s="50"/>
    </row>
    <row r="138" spans="37:54" x14ac:dyDescent="0.15">
      <c r="AK138" s="423"/>
      <c r="AL138" s="426"/>
      <c r="AM138" s="357" t="s">
        <v>145</v>
      </c>
      <c r="AN138" s="357">
        <f t="shared" ref="AN138" si="72">IF(AL136&lt;=20,6.1,IF(AND(AL136&gt;20,AL136&lt;=50),ROUNDUP(0.4/30*AL136+5.8333,1),IF(AND(AL136&gt;50,AL136&lt;=100),ROUNDUP(0.4/50*AL136+6.1,1),ROUNDUP(3.3/150*AL136+4.7,1))))</f>
        <v>6.1</v>
      </c>
      <c r="AO138" s="357">
        <f t="shared" si="32"/>
        <v>5.6</v>
      </c>
      <c r="AP138" s="357">
        <f>IF(AL136&lt;=8,5.6,IF(AND(AL136&gt;8,AL136&lt;=17),ROUNDUP(0.3/9*AL136+5.3333,1),IF(AND(AL136&gt;17,AL136&lt;=135),ROUNDUP(0.4/118*AL136+5.8423,1),ROUNDUP(1.1/65*AL136+4.0153,1))))</f>
        <v>5.6</v>
      </c>
      <c r="AQ138" s="357">
        <f>IF(AL136&lt;=8,5.6,IF(AND(AL136&gt;8,AL136&lt;=10),ROUNDUP(0.3/2*AL136+4.4,1),IF(AND(AL136&gt;10,AL136&lt;=17),ROUNDUP(0.1/7*AL136+5.7571,1),IF(AND(AL136&gt;17,AL136&lt;=50),ROUNDUP(0.3/33*AL136+5.8454,1),IF(AND(AL136&gt;50,AL136&lt;=150),ROUNDUP(0.3/100*AL136+6.15,1),ROUNDUP(0.2/50*AL136+6,1))))))</f>
        <v>5.6</v>
      </c>
      <c r="AR138" s="357">
        <f>IF(AL136&lt;=10,5.5,IF(AND(AL136&gt;10,AL136&lt;=68),ROUNDUP(0.7/58*AL136+5.3793,1),IF(AND(AL136&gt;68,AL136&lt;=138),ROUNDUP(0.4/70*AL136+5.8114,1),ROUNDUP(0.1/62*AL136+6.3774,1))))</f>
        <v>5.5</v>
      </c>
      <c r="BB138" s="50"/>
    </row>
  </sheetData>
  <sheetProtection password="CEE3" sheet="1" objects="1" scenarios="1"/>
  <mergeCells count="32">
    <mergeCell ref="AK133:AK135"/>
    <mergeCell ref="AL133:AL135"/>
    <mergeCell ref="AK136:AK138"/>
    <mergeCell ref="AL136:AL138"/>
    <mergeCell ref="AK124:AK126"/>
    <mergeCell ref="AL124:AL126"/>
    <mergeCell ref="AK127:AK129"/>
    <mergeCell ref="AL127:AL129"/>
    <mergeCell ref="AK130:AK132"/>
    <mergeCell ref="AL130:AL132"/>
    <mergeCell ref="AK115:AK117"/>
    <mergeCell ref="AL115:AL117"/>
    <mergeCell ref="AK118:AK120"/>
    <mergeCell ref="AL118:AL120"/>
    <mergeCell ref="AK121:AK123"/>
    <mergeCell ref="AL121:AL123"/>
    <mergeCell ref="AK106:AK108"/>
    <mergeCell ref="AL106:AL108"/>
    <mergeCell ref="AK109:AK111"/>
    <mergeCell ref="AL109:AL111"/>
    <mergeCell ref="AK112:AK114"/>
    <mergeCell ref="AL112:AL114"/>
    <mergeCell ref="F1:M1"/>
    <mergeCell ref="F53:H53"/>
    <mergeCell ref="I3:L3"/>
    <mergeCell ref="O3:Q3"/>
    <mergeCell ref="X3:Z3"/>
    <mergeCell ref="AB8:AB9"/>
    <mergeCell ref="F51:H51"/>
    <mergeCell ref="F3:H3"/>
    <mergeCell ref="F5:H5"/>
    <mergeCell ref="T3:U3"/>
  </mergeCells>
  <phoneticPr fontId="4"/>
  <dataValidations disablePrompts="1" count="2">
    <dataValidation allowBlank="1" showDropDown="1" showInputMessage="1" showErrorMessage="1" sqref="I10 I34 I25 I22 I19 I16 I28 I37 I13 I31 I40"/>
    <dataValidation type="list" allowBlank="1" showInputMessage="1" sqref="U10:U42">
      <formula1>#REF!</formula1>
    </dataValidation>
  </dataValidations>
  <printOptions horizontalCentered="1" verticalCentered="1"/>
  <pageMargins left="0.39370078740157483" right="0.39370078740157483" top="0.59055118110236227" bottom="0.39370078740157483" header="0.11811023622047245" footer="0.11811023622047245"/>
  <pageSetup paperSize="9" scale="67" orientation="landscape" horizontalDpi="400" verticalDpi="400" r:id="rId1"/>
  <headerFooter alignWithMargins="0">
    <oddHeader>&amp;RＴＭ２１５９６&amp;G　　(5/8)</oddHeader>
    <oddFooter>&amp;R&amp;"ＭＳ Ｐゴシック,太字"&amp;12&amp;G</oddFooter>
  </headerFooter>
  <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F1:BT268"/>
  <sheetViews>
    <sheetView showZeros="0" view="pageBreakPreview" zoomScaleNormal="100" zoomScaleSheetLayoutView="100" workbookViewId="0">
      <selection activeCell="H41" activeCellId="10" sqref="H11 H14 H17 H20 H23 H26 H29 H32 H35 H38 H41"/>
    </sheetView>
  </sheetViews>
  <sheetFormatPr defaultRowHeight="14.25" x14ac:dyDescent="0.15"/>
  <cols>
    <col min="1" max="5" width="9" style="50"/>
    <col min="6" max="6" width="3.625" style="50" customWidth="1"/>
    <col min="7" max="7" width="1.375" style="50" customWidth="1"/>
    <col min="8" max="8" width="8.625" style="50" customWidth="1"/>
    <col min="9" max="9" width="6.875" style="50" customWidth="1"/>
    <col min="10" max="10" width="1" style="50" customWidth="1"/>
    <col min="11" max="11" width="9.75" style="50" customWidth="1"/>
    <col min="12" max="12" width="17.5" style="50" customWidth="1"/>
    <col min="13" max="13" width="7.75" style="50" customWidth="1"/>
    <col min="14" max="14" width="10.5" style="50" customWidth="1"/>
    <col min="15" max="15" width="8.625" style="50" customWidth="1"/>
    <col min="16" max="16" width="6.625" style="50" customWidth="1"/>
    <col min="17" max="17" width="8.625" style="50" customWidth="1"/>
    <col min="18" max="18" width="10.625" style="50" customWidth="1"/>
    <col min="19" max="19" width="8.625" style="50" customWidth="1"/>
    <col min="20" max="20" width="10.625" style="50" customWidth="1"/>
    <col min="21" max="21" width="14.625" style="50" customWidth="1"/>
    <col min="22" max="22" width="6.625" style="50" customWidth="1"/>
    <col min="23" max="23" width="8.625" style="50" customWidth="1"/>
    <col min="24" max="24" width="10.625" style="50" customWidth="1"/>
    <col min="25" max="25" width="8.625" style="50" customWidth="1"/>
    <col min="26" max="26" width="10.625" style="50" customWidth="1"/>
    <col min="27" max="27" width="1.5" style="50" customWidth="1"/>
    <col min="28" max="28" width="13.625" style="50" customWidth="1"/>
    <col min="29" max="33" width="9" style="50" customWidth="1"/>
    <col min="34" max="34" width="5.375" style="50" customWidth="1"/>
    <col min="35" max="36" width="9" style="50" customWidth="1"/>
    <col min="37" max="37" width="15" style="50" customWidth="1"/>
    <col min="38" max="39" width="9" style="50" customWidth="1"/>
    <col min="40" max="40" width="9.625" style="50" customWidth="1"/>
    <col min="41" max="43" width="9" style="50" customWidth="1"/>
    <col min="44" max="44" width="9.5" style="50" customWidth="1"/>
    <col min="45" max="45" width="9.25" style="50" customWidth="1"/>
    <col min="46" max="50" width="9" style="50" customWidth="1"/>
    <col min="51" max="53" width="9.25" style="50" customWidth="1"/>
    <col min="54" max="54" width="9.25" style="3" customWidth="1"/>
    <col min="55" max="68" width="9.25" style="50" customWidth="1"/>
    <col min="69" max="69" width="13.625" style="50" customWidth="1"/>
    <col min="70" max="16384" width="9" style="50"/>
  </cols>
  <sheetData>
    <row r="1" spans="6:72" ht="25.5" customHeight="1" x14ac:dyDescent="0.15">
      <c r="F1" s="436" t="s">
        <v>219</v>
      </c>
      <c r="G1" s="437"/>
      <c r="H1" s="437"/>
      <c r="I1" s="437"/>
      <c r="J1" s="437"/>
      <c r="K1" s="437"/>
      <c r="L1" s="437"/>
      <c r="M1" s="438"/>
      <c r="N1" s="1"/>
    </row>
    <row r="2" spans="6:72" ht="12.75" customHeight="1" x14ac:dyDescent="0.15"/>
    <row r="3" spans="6:72" ht="20.100000000000001" customHeight="1" x14ac:dyDescent="0.15">
      <c r="F3" s="409" t="s">
        <v>0</v>
      </c>
      <c r="G3" s="388"/>
      <c r="H3" s="389"/>
      <c r="I3" s="417">
        <f>◆入力◆①配管容量!H3</f>
        <v>0</v>
      </c>
      <c r="J3" s="418"/>
      <c r="K3" s="418"/>
      <c r="L3" s="419"/>
      <c r="M3" s="40"/>
      <c r="N3" s="361" t="s">
        <v>1</v>
      </c>
      <c r="O3" s="420" t="s">
        <v>241</v>
      </c>
      <c r="P3" s="421"/>
      <c r="Q3" s="422"/>
      <c r="R3" s="363"/>
      <c r="S3" s="361" t="s">
        <v>2</v>
      </c>
      <c r="T3" s="410">
        <f ca="1">TODAY()</f>
        <v>42326</v>
      </c>
      <c r="U3" s="411"/>
      <c r="V3" s="40"/>
      <c r="W3" s="361" t="s">
        <v>44</v>
      </c>
      <c r="X3" s="428" t="str">
        <f>◆入力◆①配管容量!AM36</f>
        <v/>
      </c>
      <c r="Y3" s="429"/>
      <c r="Z3" s="430"/>
      <c r="AA3" s="54"/>
      <c r="AB3" s="54"/>
      <c r="AC3" s="54"/>
      <c r="AD3" s="40"/>
      <c r="AE3" s="40"/>
      <c r="AF3" s="40"/>
      <c r="AG3" s="40"/>
      <c r="AH3" s="40"/>
      <c r="AI3" s="40"/>
      <c r="AJ3" s="40"/>
      <c r="AK3" s="55" t="s">
        <v>52</v>
      </c>
      <c r="AL3" s="55"/>
      <c r="AM3" s="55"/>
      <c r="AN3" s="55"/>
      <c r="AO3" s="56" t="s">
        <v>51</v>
      </c>
      <c r="AP3" s="40"/>
      <c r="AQ3" s="40"/>
      <c r="AR3" s="40"/>
      <c r="AS3" s="40"/>
      <c r="AT3" s="40"/>
      <c r="AU3" s="40"/>
      <c r="AW3" s="55"/>
      <c r="AX3" s="55"/>
      <c r="AY3" s="40"/>
      <c r="BA3" s="40"/>
      <c r="BB3" s="180"/>
      <c r="BC3" s="40"/>
      <c r="BD3" s="40"/>
      <c r="BE3" s="40"/>
      <c r="BF3" s="40"/>
      <c r="BG3" s="40"/>
      <c r="BK3" s="40"/>
      <c r="BL3" s="40"/>
      <c r="BM3" s="40"/>
      <c r="BN3" s="40"/>
      <c r="BO3" s="40"/>
      <c r="BP3" s="40"/>
      <c r="BQ3" s="40"/>
      <c r="BR3" s="40"/>
      <c r="BS3" s="40"/>
      <c r="BT3" s="40"/>
    </row>
    <row r="4" spans="6:72" ht="12" customHeight="1" x14ac:dyDescent="0.15">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57" t="s">
        <v>75</v>
      </c>
      <c r="AL4" s="58">
        <v>15</v>
      </c>
      <c r="AM4" s="58">
        <v>20</v>
      </c>
      <c r="AN4" s="58">
        <v>25</v>
      </c>
      <c r="AO4" s="58">
        <v>32</v>
      </c>
      <c r="AP4" s="58">
        <v>40</v>
      </c>
      <c r="AQ4" s="58">
        <v>50</v>
      </c>
      <c r="AR4" s="58">
        <v>65</v>
      </c>
      <c r="AS4" s="58">
        <v>80</v>
      </c>
      <c r="AT4" s="58">
        <v>100</v>
      </c>
      <c r="AU4" s="58">
        <v>125</v>
      </c>
      <c r="AV4" s="58">
        <v>150</v>
      </c>
      <c r="AW4" s="58">
        <v>200</v>
      </c>
      <c r="AX4" s="58">
        <v>250</v>
      </c>
      <c r="AY4" s="40"/>
      <c r="AZ4" s="40"/>
      <c r="BA4" s="40"/>
      <c r="BB4" s="180"/>
      <c r="BC4" s="40"/>
      <c r="BD4" s="40"/>
      <c r="BE4" s="40"/>
      <c r="BF4" s="40"/>
      <c r="BG4" s="40"/>
      <c r="BK4" s="40"/>
      <c r="BL4" s="40"/>
      <c r="BM4" s="40"/>
      <c r="BN4" s="40"/>
      <c r="BO4" s="40"/>
      <c r="BP4" s="40"/>
      <c r="BQ4" s="40"/>
      <c r="BR4" s="40"/>
      <c r="BS4" s="40"/>
      <c r="BT4" s="40"/>
    </row>
    <row r="5" spans="6:72" ht="20.100000000000001" customHeight="1" x14ac:dyDescent="0.15">
      <c r="F5" s="59" t="s">
        <v>3</v>
      </c>
      <c r="G5" s="60"/>
      <c r="H5" s="61"/>
      <c r="I5" s="163">
        <v>1</v>
      </c>
      <c r="J5" s="60"/>
      <c r="K5" s="61" t="s">
        <v>37</v>
      </c>
      <c r="L5" s="131" t="str">
        <f>◆入力◆①配管容量!N3</f>
        <v>水道用硬質ポリ塩化ビニル管</v>
      </c>
      <c r="M5" s="40"/>
      <c r="N5" s="40"/>
      <c r="O5" s="40"/>
      <c r="P5" s="40"/>
      <c r="Q5" s="40"/>
      <c r="R5" s="40"/>
      <c r="S5" s="40"/>
      <c r="T5" s="40"/>
      <c r="U5" s="40"/>
      <c r="V5" s="40"/>
      <c r="W5" s="40"/>
      <c r="X5" s="40"/>
      <c r="Y5" s="40"/>
      <c r="Z5" s="40"/>
      <c r="AA5" s="40"/>
      <c r="AB5" s="40"/>
      <c r="AC5" s="40"/>
      <c r="AD5" s="62"/>
      <c r="AE5" s="40"/>
      <c r="AF5" s="40"/>
      <c r="AG5" s="40"/>
      <c r="AH5" s="40"/>
      <c r="AI5" s="40"/>
      <c r="AJ5" s="40"/>
      <c r="AK5" s="57" t="s">
        <v>76</v>
      </c>
      <c r="AL5" s="63">
        <v>1.31</v>
      </c>
      <c r="AM5" s="63">
        <v>1.86</v>
      </c>
      <c r="AN5" s="63">
        <v>2.46</v>
      </c>
      <c r="AO5" s="63">
        <v>3.27</v>
      </c>
      <c r="AP5" s="63">
        <v>3.86</v>
      </c>
      <c r="AQ5" s="63">
        <v>4.99</v>
      </c>
      <c r="AR5" s="63">
        <v>6.49</v>
      </c>
      <c r="AS5" s="63">
        <v>7.67</v>
      </c>
      <c r="AT5" s="63">
        <v>10.130000000000001</v>
      </c>
      <c r="AU5" s="63">
        <v>12.68</v>
      </c>
      <c r="AV5" s="63">
        <v>15.02</v>
      </c>
      <c r="AW5" s="63">
        <v>19.97</v>
      </c>
      <c r="AX5" s="63">
        <v>24.82</v>
      </c>
      <c r="AY5" s="40"/>
      <c r="BB5" s="50"/>
    </row>
    <row r="6" spans="6:72" ht="14.25" customHeight="1" x14ac:dyDescent="0.15">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57" t="s">
        <v>4</v>
      </c>
      <c r="AL6" s="63">
        <v>3</v>
      </c>
      <c r="AM6" s="63">
        <v>3.1</v>
      </c>
      <c r="AN6" s="63">
        <v>3.2</v>
      </c>
      <c r="AO6" s="63">
        <v>3.6</v>
      </c>
      <c r="AP6" s="63">
        <v>3.3</v>
      </c>
      <c r="AQ6" s="63">
        <v>3.3</v>
      </c>
      <c r="AR6" s="63">
        <v>4.4000000000000004</v>
      </c>
      <c r="AS6" s="63">
        <v>4.5999999999999996</v>
      </c>
      <c r="AT6" s="63">
        <v>4.2</v>
      </c>
      <c r="AU6" s="63">
        <v>5.0999999999999996</v>
      </c>
      <c r="AV6" s="63">
        <v>6</v>
      </c>
      <c r="AW6" s="63">
        <v>6.5</v>
      </c>
      <c r="AX6" s="63">
        <v>8</v>
      </c>
      <c r="AY6" s="40"/>
      <c r="BB6" s="50"/>
    </row>
    <row r="7" spans="6:72" ht="15" thickBot="1" x14ac:dyDescent="0.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57" t="s">
        <v>38</v>
      </c>
      <c r="AL7" s="63">
        <v>1.2</v>
      </c>
      <c r="AM7" s="63">
        <v>1.6</v>
      </c>
      <c r="AN7" s="63">
        <v>1.2</v>
      </c>
      <c r="AO7" s="63">
        <v>1.4</v>
      </c>
      <c r="AP7" s="63">
        <v>0.9</v>
      </c>
      <c r="AQ7" s="63">
        <v>0.9</v>
      </c>
      <c r="AR7" s="63">
        <v>1.1000000000000001</v>
      </c>
      <c r="AS7" s="63">
        <v>1.3</v>
      </c>
      <c r="AT7" s="63">
        <v>1.2</v>
      </c>
      <c r="AU7" s="63">
        <v>1.5</v>
      </c>
      <c r="AV7" s="63">
        <v>1.8</v>
      </c>
      <c r="AW7" s="63">
        <v>4</v>
      </c>
      <c r="AX7" s="63">
        <v>5</v>
      </c>
      <c r="AY7" s="40"/>
      <c r="BB7" s="50"/>
    </row>
    <row r="8" spans="6:72" ht="20.100000000000001" customHeight="1" thickBot="1" x14ac:dyDescent="0.2">
      <c r="F8" s="234"/>
      <c r="G8" s="40"/>
      <c r="H8" s="64" t="s">
        <v>45</v>
      </c>
      <c r="I8" s="53"/>
      <c r="J8" s="40"/>
      <c r="K8" s="361" t="s">
        <v>7</v>
      </c>
      <c r="L8" s="65" t="s">
        <v>8</v>
      </c>
      <c r="M8" s="66" t="s">
        <v>9</v>
      </c>
      <c r="N8" s="66"/>
      <c r="O8" s="64" t="s">
        <v>10</v>
      </c>
      <c r="P8" s="66"/>
      <c r="Q8" s="66"/>
      <c r="R8" s="66"/>
      <c r="S8" s="66"/>
      <c r="T8" s="66"/>
      <c r="U8" s="64" t="s">
        <v>11</v>
      </c>
      <c r="V8" s="66"/>
      <c r="W8" s="66"/>
      <c r="X8" s="66"/>
      <c r="Y8" s="66"/>
      <c r="Z8" s="53"/>
      <c r="AA8" s="40"/>
      <c r="AB8" s="404" t="s">
        <v>55</v>
      </c>
      <c r="AC8" s="67"/>
      <c r="AD8" s="40"/>
      <c r="AE8" s="40"/>
      <c r="AF8" s="40"/>
      <c r="AG8" s="40"/>
      <c r="AH8" s="40"/>
      <c r="AI8" s="40"/>
      <c r="AJ8" s="40"/>
      <c r="AK8" s="57" t="s">
        <v>5</v>
      </c>
      <c r="AL8" s="63">
        <v>3.8</v>
      </c>
      <c r="AM8" s="63">
        <v>3.8</v>
      </c>
      <c r="AN8" s="63">
        <v>3.3</v>
      </c>
      <c r="AO8" s="63">
        <v>4</v>
      </c>
      <c r="AP8" s="63">
        <v>3.6</v>
      </c>
      <c r="AQ8" s="63">
        <v>3.5</v>
      </c>
      <c r="AR8" s="63">
        <v>4.4000000000000004</v>
      </c>
      <c r="AS8" s="63">
        <v>4.9000000000000004</v>
      </c>
      <c r="AT8" s="63">
        <v>6.3</v>
      </c>
      <c r="AU8" s="63">
        <v>7.5</v>
      </c>
      <c r="AV8" s="63">
        <v>9</v>
      </c>
      <c r="AW8" s="63">
        <v>14</v>
      </c>
      <c r="AX8" s="63">
        <v>20</v>
      </c>
      <c r="BB8" s="50"/>
    </row>
    <row r="9" spans="6:72" ht="20.100000000000001" customHeight="1" x14ac:dyDescent="0.15">
      <c r="F9" s="235"/>
      <c r="G9" s="40"/>
      <c r="H9" s="68" t="s">
        <v>46</v>
      </c>
      <c r="I9" s="361" t="s">
        <v>47</v>
      </c>
      <c r="J9" s="40"/>
      <c r="K9" s="361" t="s">
        <v>36</v>
      </c>
      <c r="L9" s="65" t="s">
        <v>12</v>
      </c>
      <c r="M9" s="360" t="s">
        <v>48</v>
      </c>
      <c r="N9" s="69" t="s">
        <v>13</v>
      </c>
      <c r="O9" s="360" t="s">
        <v>14</v>
      </c>
      <c r="P9" s="361" t="s">
        <v>15</v>
      </c>
      <c r="Q9" s="360" t="s">
        <v>16</v>
      </c>
      <c r="R9" s="361" t="s">
        <v>17</v>
      </c>
      <c r="S9" s="360" t="s">
        <v>18</v>
      </c>
      <c r="T9" s="69" t="s">
        <v>13</v>
      </c>
      <c r="U9" s="360" t="s">
        <v>19</v>
      </c>
      <c r="V9" s="361" t="s">
        <v>15</v>
      </c>
      <c r="W9" s="70" t="s">
        <v>16</v>
      </c>
      <c r="X9" s="361" t="s">
        <v>17</v>
      </c>
      <c r="Y9" s="360" t="s">
        <v>18</v>
      </c>
      <c r="Z9" s="69" t="s">
        <v>13</v>
      </c>
      <c r="AA9" s="363"/>
      <c r="AB9" s="405"/>
      <c r="AC9" s="71" t="s">
        <v>73</v>
      </c>
      <c r="AD9" s="72" t="s">
        <v>40</v>
      </c>
      <c r="AE9" s="72" t="s">
        <v>56</v>
      </c>
      <c r="AF9" s="72" t="s">
        <v>39</v>
      </c>
      <c r="AG9" s="72" t="s">
        <v>61</v>
      </c>
      <c r="AH9" s="72" t="s">
        <v>89</v>
      </c>
      <c r="AI9" s="72" t="s">
        <v>90</v>
      </c>
      <c r="AJ9" s="181"/>
      <c r="AK9" s="57" t="s">
        <v>6</v>
      </c>
      <c r="AL9" s="63">
        <v>3.5</v>
      </c>
      <c r="AM9" s="63">
        <v>2.2999999999999998</v>
      </c>
      <c r="AN9" s="63">
        <v>1.7</v>
      </c>
      <c r="AO9" s="63">
        <v>1.3</v>
      </c>
      <c r="AP9" s="63">
        <v>1.7</v>
      </c>
      <c r="AQ9" s="63">
        <v>1.9</v>
      </c>
      <c r="AR9" s="63">
        <v>0.48</v>
      </c>
      <c r="AS9" s="63">
        <v>0.63</v>
      </c>
      <c r="AT9" s="63">
        <v>0.81</v>
      </c>
      <c r="AU9" s="63">
        <v>0.99</v>
      </c>
      <c r="AV9" s="63">
        <v>1.2</v>
      </c>
      <c r="AW9" s="63">
        <v>1.4</v>
      </c>
      <c r="AX9" s="63">
        <v>1.7</v>
      </c>
      <c r="BB9" s="50"/>
    </row>
    <row r="10" spans="6:72" x14ac:dyDescent="0.15">
      <c r="F10" s="235" t="s">
        <v>21</v>
      </c>
      <c r="G10" s="40"/>
      <c r="H10" s="168"/>
      <c r="I10" s="189" t="str">
        <f>IF(H10="","",◆入力◆①配管容量!$M$3)</f>
        <v/>
      </c>
      <c r="J10" s="40"/>
      <c r="K10" s="73"/>
      <c r="L10" s="74"/>
      <c r="M10" s="75"/>
      <c r="N10" s="76"/>
      <c r="O10" s="77" t="str">
        <f>IF(I11="","","E９０°")</f>
        <v/>
      </c>
      <c r="P10" s="173"/>
      <c r="Q10" s="78">
        <f>IF(I11=0,0,IF(I10="SGP-VB",LOOKUP(I11,◆入力◆④「1個放水」計算!$AL$4:$AX$4,◆入力◆④「1個放水」計算!$AL$6:$AX$6),IF(I10="SGP-PB",LOOKUP(I11,◆入力◆④「1個放水」計算!$AL$15:$AX$15,◆入力◆④「1個放水」計算!$AL$17:$AX$17),IF(I10="HIVP",LOOKUP(I11,◆入力◆④「1個放水」計算!$AL$26:$AX$26,◆入力◆④「1個放水」計算!$AL$28:$AX$28),IF(OR(I10="SGP",I10="フレキ"),LOOKUP(I11,◆入力◆④「1個放水」計算!$AL$37:$AX$37,◆入力◆④「1個放水」計算!$AL$39:$AX$39),IF(I10="SUS",LOOKUP(I11,◆入力◆④「1個放水」計算!$AL$48:$AX$48,◆入力◆④「1個放水」計算!$AL$50:$AX$50),IF(OR(I10="PE",I10="PP"),LOOKUP(I11,◆入力◆④「1個放水」計算!$AL$59:$AX$59,◆入力◆④「1個放水」計算!$AL$61:$AX$61))))))))</f>
        <v>0</v>
      </c>
      <c r="R10" s="79">
        <f t="shared" ref="R10:R42" si="0">P10*Q10</f>
        <v>0</v>
      </c>
      <c r="S10" s="80"/>
      <c r="T10" s="81">
        <v>0</v>
      </c>
      <c r="U10" s="176"/>
      <c r="V10" s="174"/>
      <c r="W10" s="79">
        <f>IF($U10="Yスト",AC10,IF($I10="sgp-vb",AD10,IF($I10="sgp-pb",AE10,IF($I10="hivp",AF10,IF(OR($I10="sgp",$I10="フレキ"),AG10,IF($I10="sus",AH10,IF(OR($I10="PE",$I10="PP"),AI10,0)))))))</f>
        <v>0</v>
      </c>
      <c r="X10" s="82">
        <f t="shared" ref="X10:X42" si="1">V10*W10</f>
        <v>0</v>
      </c>
      <c r="Y10" s="83"/>
      <c r="Z10" s="84">
        <f>IF(AND($U10="電動弁",$V10=1),LOOKUP($K11,$AL$77:$BQ$77,$AL$78:$BQ$78),IF(AND($U10="逆流防止装置E",$V10=1),LOOKUP($I11,$AN$106:$AR$106,$AN107:$AR107),IF(AND($U10="逆流防止装置K",$V10=1),LOOKUP($I11,$AN$106:$AR$106,$AN108:$AR108),IF(AND($U10="逆流防止装置T",$V10=1),LOOKUP($I11,$AN$106:$AR$106,$AN109:$AR109),0))))</f>
        <v>0</v>
      </c>
      <c r="AA10" s="40"/>
      <c r="AB10" s="85"/>
      <c r="AC10" s="86">
        <f>IF(U10="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0" s="86">
        <f>IF($U10="仕切弁",LOOKUP($I11,◆入力◆④「1個放水」計算!$AL$4:$AX$4,◆入力◆④「1個放水」計算!$AL$9:$AX$9),IF($U10="逆止弁",LOOKUP($I11,◆入力◆④「1個放水」計算!$AL$4:$AX$4,◆入力◆④「1個放水」計算!$AL$10:$AX$10),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E10" s="86">
        <f>IF($U10="仕切弁",LOOKUP($I11,◆入力◆④「1個放水」計算!$AL$15:$AX$15,◆入力◆④「1個放水」計算!$AL$20:$AX$20),IF($U10="逆止弁",LOOKUP($I11,◆入力◆④「1個放水」計算!$AL$15:$AX$15,◆入力◆④「1個放水」計算!$AL$21:$AX$21),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F10" s="86">
        <f>IF($U10="仕切弁",LOOKUP($I11,◆入力◆④「1個放水」計算!$AL$26:$AX$26,◆入力◆④「1個放水」計算!$AL$31:$AX$31),IF($U10="逆止弁",LOOKUP($I11,◆入力◆④「1個放水」計算!$AL$26:$AX$26,◆入力◆④「1個放水」計算!$AL$32:$AX$32),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G10" s="86">
        <f>IF($U10="仕切弁",LOOKUP($I11,◆入力◆④「1個放水」計算!$AL$37:$AX$37,◆入力◆④「1個放水」計算!$AL$42:$AX$42),IF($U10="逆止弁",LOOKUP($I11,◆入力◆④「1個放水」計算!$AL$37:$AX$37,◆入力◆④「1個放水」計算!$AL$43:$AX$43),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H10" s="86">
        <f>IF($U10="仕切弁",LOOKUP($I11,◆入力◆④「1個放水」計算!$AL$48:$AX$48,◆入力◆④「1個放水」計算!$AL$53:$AX$53),IF($U10="逆止弁",LOOKUP($I11,◆入力◆④「1個放水」計算!$AL$48:$AX$48,◆入力◆④「1個放水」計算!$AL$54:$AX$54),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I10" s="86">
        <f>IF($U10="仕切弁",LOOKUP($I11,◆入力◆④「1個放水」計算!$AL$59:$AX$59,◆入力◆④「1個放水」計算!$AL$65:$AX$65),IF($U10="逆止弁",LOOKUP($I11,◆入力◆④「1個放水」計算!$AL$59:$AX$59,◆入力◆④「1個放水」計算!$AL$66:$AX$66),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J10" s="182"/>
      <c r="AK10" s="57" t="s">
        <v>41</v>
      </c>
      <c r="AL10" s="63">
        <v>5.5</v>
      </c>
      <c r="AM10" s="63">
        <v>2.7</v>
      </c>
      <c r="AN10" s="63">
        <v>2.9</v>
      </c>
      <c r="AO10" s="63">
        <v>3.2</v>
      </c>
      <c r="AP10" s="63">
        <v>2.6</v>
      </c>
      <c r="AQ10" s="63">
        <v>3.7</v>
      </c>
      <c r="AR10" s="63">
        <v>4.5999999999999996</v>
      </c>
      <c r="AS10" s="63">
        <v>5.7</v>
      </c>
      <c r="AT10" s="63">
        <v>7.6</v>
      </c>
      <c r="AU10" s="63">
        <v>10</v>
      </c>
      <c r="AV10" s="63">
        <v>12</v>
      </c>
      <c r="AW10" s="63">
        <v>15</v>
      </c>
      <c r="AX10" s="63">
        <v>19</v>
      </c>
      <c r="BB10" s="50"/>
    </row>
    <row r="11" spans="6:72" ht="14.25" customHeight="1" x14ac:dyDescent="0.15">
      <c r="F11" s="235"/>
      <c r="G11" s="40"/>
      <c r="H11" s="186">
        <f>IF(H10=1,"①－②",0)</f>
        <v>0</v>
      </c>
      <c r="I11" s="170"/>
      <c r="J11" s="40"/>
      <c r="K11" s="141">
        <v>30</v>
      </c>
      <c r="L11" s="74">
        <f>IF(I11="",0,IF(I11&gt;=65,K11^1.85*0.012/I12^4.87,ROUNDUP((0.0126+(0.01739-(0.1087*I12/100))/SQRT(4*K11/(60000*PI()*(I12/100)^2)))*(1/(I12/100))*((4*K11/(60000*PI()*(I12/100)^2))^2/(2*9.8)),4)))</f>
        <v>0</v>
      </c>
      <c r="M11" s="172"/>
      <c r="N11" s="84">
        <f>ROUNDUP(L11*M11,2)</f>
        <v>0</v>
      </c>
      <c r="O11" s="87" t="str">
        <f>IF(I11="","","Ｔ直")</f>
        <v/>
      </c>
      <c r="P11" s="174"/>
      <c r="Q11" s="88">
        <f>IF(I11=0,0,IF(I10="SGP-VB",LOOKUP(I11,◆入力◆④「1個放水」計算!$AL$4:$AX$4,◆入力◆④「1個放水」計算!$AL$7:$AX$7),IF(I10="SGP-PB",LOOKUP(I11,◆入力◆④「1個放水」計算!$AL$15:$AX$15,◆入力◆④「1個放水」計算!$AL$18:$AX$18),IF(I10="HIVP",LOOKUP(I11,◆入力◆④「1個放水」計算!$AL$26:$AX$26,◆入力◆④「1個放水」計算!$AL$29:$AX$29),IF(OR(I10="SGP",I10="フレキ"),LOOKUP(I11,◆入力◆④「1個放水」計算!$AL$37:$AX$37,◆入力◆④「1個放水」計算!$AL$40:$AX$40),IF(I10="SUS",LOOKUP(I11,◆入力◆④「1個放水」計算!$AL$48:$AX$48,◆入力◆④「1個放水」計算!$AL$51:$AX$51),IF(OR(I10="PE",I10="PP"),LOOKUP(I11,◆入力◆④「1個放水」計算!$AL$59:$AX$59,◆入力◆④「1個放水」計算!$AL$63:$AX$63))))))))</f>
        <v>0</v>
      </c>
      <c r="R11" s="82">
        <f t="shared" si="0"/>
        <v>0</v>
      </c>
      <c r="S11" s="83">
        <f>R10+R11+R12</f>
        <v>0</v>
      </c>
      <c r="T11" s="84">
        <f>ROUNDUP(L11*S11,2)</f>
        <v>0</v>
      </c>
      <c r="U11" s="177"/>
      <c r="V11" s="174"/>
      <c r="W11" s="82">
        <f>IF($U11="Yスト",AC11,IF($I10="sgp-vb",AD11,IF($I10="sgp-pb",AE11,IF($I10="hivp",AF11,IF(OR($I10="sgp",$I10="フレキ"),AG11,IF($I10="sus",AH11,IF(OR($I10="PE",$I10="PP"),AI11,0)))))))</f>
        <v>0</v>
      </c>
      <c r="X11" s="82">
        <f t="shared" si="1"/>
        <v>0</v>
      </c>
      <c r="Y11" s="83">
        <f>SUM(X10:X12)</f>
        <v>0</v>
      </c>
      <c r="Z11" s="84">
        <f>IF(AND($U11="電動弁",$V11=1),LOOKUP($K11,$AL$77:$BQ$77,$AL$78:$BQ$78),IF(AND($U11="逆流防止装置E",$V11=1),LOOKUP($I11,$AN$106:$AR$106,$AN107:$AR107),IF(AND($U11="逆流防止装置K",$V11=1),LOOKUP($I11,$AN$106:$AR$106,$AN108:$AR108),IF(AND($U11="逆流防止装置T",$V11=1),LOOKUP($I11,$AN$106:$AR$106,$AN109:$AR109),0))))</f>
        <v>0</v>
      </c>
      <c r="AA11" s="40"/>
      <c r="AB11" s="84">
        <f>T10+N11+T11+Z10+Z11+Z12</f>
        <v>0</v>
      </c>
      <c r="AC11" s="89">
        <f>IF(U11="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1" s="90">
        <f>IF($U11="仕切弁",LOOKUP($I11,◆入力◆④「1個放水」計算!$AL$4:$AX$4,◆入力◆④「1個放水」計算!$AL$9:$AX$9),IF($U11="逆止弁",LOOKUP($I11,◆入力◆④「1個放水」計算!$AL$4:$AX$4,◆入力◆④「1個放水」計算!$AL$10:$AX$10),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E11" s="90">
        <f>IF($U11="仕切弁",LOOKUP($I11,◆入力◆④「1個放水」計算!$AL$15:$AX$15,◆入力◆④「1個放水」計算!$AL$20:$AX$20),IF($U11="逆止弁",LOOKUP($I11,◆入力◆④「1個放水」計算!$AL$15:$AX$15,◆入力◆④「1個放水」計算!$AL$21:$AX$21),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F11" s="90">
        <f>IF($U11="仕切弁",LOOKUP($I11,◆入力◆④「1個放水」計算!$AL$26:$AX$26,◆入力◆④「1個放水」計算!$AL$31:$AX$31),IF($U11="逆止弁",LOOKUP($I11,◆入力◆④「1個放水」計算!$AL$26:$AX$26,◆入力◆④「1個放水」計算!$AL$32:$AX$32),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G11" s="90">
        <f>IF($U11="仕切弁",LOOKUP($I11,◆入力◆④「1個放水」計算!$AL$37:$AX$37,◆入力◆④「1個放水」計算!$AL$42:$AX$42),IF($U11="逆止弁",LOOKUP($I11,◆入力◆④「1個放水」計算!$AL$37:$AX$37,◆入力◆④「1個放水」計算!$AL$43:$AX$43),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H11" s="90">
        <f>IF($U11="仕切弁",LOOKUP($I11,◆入力◆④「1個放水」計算!$AL$48:$AX$48,◆入力◆④「1個放水」計算!$AL$53:$AX$53),IF($U11="逆止弁",LOOKUP($I11,◆入力◆④「1個放水」計算!$AL$48:$AX$48,◆入力◆④「1個放水」計算!$AL$54:$AX$54),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I11" s="90">
        <f>IF($U11="仕切弁",LOOKUP($I11,◆入力◆④「1個放水」計算!$AL$59:$AX$59,◆入力◆④「1個放水」計算!$AL$65:$AX$65),IF($U11="逆止弁",LOOKUP($I11,◆入力◆④「1個放水」計算!$AL$59:$AX$59,◆入力◆④「1個放水」計算!$AL$66:$AX$66),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J11" s="183"/>
      <c r="AK11" s="57" t="s">
        <v>42</v>
      </c>
      <c r="AL11" s="63">
        <v>3.34</v>
      </c>
      <c r="AM11" s="63">
        <v>4.37</v>
      </c>
      <c r="AN11" s="63">
        <v>5.85</v>
      </c>
      <c r="AO11" s="63">
        <v>8.51</v>
      </c>
      <c r="AP11" s="63">
        <v>8.25</v>
      </c>
      <c r="AQ11" s="63">
        <v>9.7899999999999991</v>
      </c>
      <c r="AR11" s="63">
        <v>11.45</v>
      </c>
      <c r="AS11" s="63">
        <v>14.11</v>
      </c>
      <c r="AT11" s="63">
        <v>21.62</v>
      </c>
      <c r="AU11" s="63">
        <v>31.57</v>
      </c>
      <c r="AV11" s="63">
        <v>41.17</v>
      </c>
      <c r="AW11" s="63">
        <v>54.83</v>
      </c>
      <c r="AX11" s="63">
        <v>70.37</v>
      </c>
      <c r="BB11" s="50"/>
    </row>
    <row r="12" spans="6:72" ht="14.25" customHeight="1" x14ac:dyDescent="0.15">
      <c r="F12" s="235"/>
      <c r="G12" s="40"/>
      <c r="H12" s="145"/>
      <c r="I12" s="91">
        <f>IF(I11="",0,IF(I10="SGP-VB",LOOKUP(I11,◆入力◆④「1個放水」計算!$AL$4:$AX$4,◆入力◆④「1個放水」計算!$AL$5:$AX$5),IF(I10="SGP-PB",LOOKUP(I11,◆入力◆④「1個放水」計算!$AL$15:$AX$15,◆入力◆④「1個放水」計算!$AL$16:$AX$16),IF(I10="HIVP",LOOKUP(I11,◆入力◆④「1個放水」計算!$AL$26:$AX$26,◆入力◆④「1個放水」計算!$AL$27:$AX$27),IF(OR(I10="SGP",I10="フレキ"),LOOKUP(I11,◆入力◆④「1個放水」計算!$AL$37:$AX$37,◆入力◆④「1個放水」計算!$AL$38:$AX$38),IF(I10="SUS",LOOKUP(I11,◆入力◆④「1個放水」計算!$AL$48:$AX$48,◆入力◆④「1個放水」計算!$AL$49:$AX$49),IF(OR(I10="PE",I10="PP"),LOOKUP(I11,◆入力◆④「1個放水」計算!$AL$59:$AX$59,◆入力◆④「1個放水」計算!$AL$60:$AX$60))))))))</f>
        <v>0</v>
      </c>
      <c r="J12" s="40"/>
      <c r="K12" s="73"/>
      <c r="L12" s="74"/>
      <c r="M12" s="75"/>
      <c r="N12" s="76"/>
      <c r="O12" s="87" t="str">
        <f>IF(I11="","","Ｔ分")</f>
        <v/>
      </c>
      <c r="P12" s="174"/>
      <c r="Q12" s="88">
        <f>IF(I11=0,0,IF(I10="SGP-VB",LOOKUP(I11,◆入力◆④「1個放水」計算!$AL$4:$AX$4,◆入力◆④「1個放水」計算!$AL$8:$AX$8),IF(I10="SGP-PB",LOOKUP(I11,◆入力◆④「1個放水」計算!$AL$15:$AX$15,◆入力◆④「1個放水」計算!$AL$19:$AX$19),IF(I10="HIVP",LOOKUP(I11,◆入力◆④「1個放水」計算!$AL$26:$AX$26,◆入力◆④「1個放水」計算!$AL$30:$AX$30),IF(OR(I10="SGP",I10="フレキ"),LOOKUP(I11,◆入力◆④「1個放水」計算!$AL$37:$AX$37,◆入力◆④「1個放水」計算!$AL$41:$AX$41),IF(I10="SUS",LOOKUP(I11,◆入力◆④「1個放水」計算!$AL$48:$AX$48,◆入力◆④「1個放水」計算!$AL$52:$AX$52),IF(OR(I10="PE",I10="PP"),LOOKUP(I11,◆入力◆④「1個放水」計算!$AL$59:$AX$59,◆入力◆④「1個放水」計算!$AL$64:$AX$64))))))))</f>
        <v>0</v>
      </c>
      <c r="R12" s="82">
        <f t="shared" si="0"/>
        <v>0</v>
      </c>
      <c r="S12" s="83"/>
      <c r="T12" s="84"/>
      <c r="U12" s="178"/>
      <c r="V12" s="174"/>
      <c r="W12" s="82">
        <f>IF($U12="Yスト",AC12,IF($I10="sgp-vb",AD12,IF($I10="sgp-pb",AE12,IF($I10="hivp",AF12,IF(OR($I10="sgp",$I10="フレキ"),AG12,IF($I10="sus",AH12,IF(OR($I10="PE",$I10="PP"),AI12,0)))))))</f>
        <v>0</v>
      </c>
      <c r="X12" s="82">
        <f t="shared" si="1"/>
        <v>0</v>
      </c>
      <c r="Y12" s="83"/>
      <c r="Z12" s="92">
        <f>ROUNDUP(L11*Y11,2)</f>
        <v>0</v>
      </c>
      <c r="AA12" s="40"/>
      <c r="AB12" s="93"/>
      <c r="AC12" s="90">
        <f>IF(U12="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2" s="90">
        <f>IF($U12="仕切弁",LOOKUP($I11,◆入力◆④「1個放水」計算!$AL$4:$AX$4,◆入力◆④「1個放水」計算!$AL$9:$AX$9),IF($U12="逆止弁",LOOKUP($I11,◆入力◆④「1個放水」計算!$AL$4:$AX$4,◆入力◆④「1個放水」計算!$AL$10:$AX$10),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E12" s="90">
        <f>IF($U12="仕切弁",LOOKUP($I11,◆入力◆④「1個放水」計算!$AL$15:$AX$15,◆入力◆④「1個放水」計算!$AL$20:$AX$20),IF($U12="逆止弁",LOOKUP($I11,◆入力◆④「1個放水」計算!$AL$15:$AX$15,◆入力◆④「1個放水」計算!$AL$21:$AX$21),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F12" s="90">
        <f>IF($U12="仕切弁",LOOKUP($I11,◆入力◆④「1個放水」計算!$AL$26:$AX$26,◆入力◆④「1個放水」計算!$AL$31:$AX$31),IF($U12="逆止弁",LOOKUP($I11,◆入力◆④「1個放水」計算!$AL$26:$AX$26,◆入力◆④「1個放水」計算!$AL$32:$AX$32),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G12" s="90">
        <f>IF($U12="仕切弁",LOOKUP($I11,◆入力◆④「1個放水」計算!$AL$37:$AX$37,◆入力◆④「1個放水」計算!$AL$42:$AX$42),IF($U12="逆止弁",LOOKUP($I11,◆入力◆④「1個放水」計算!$AL$37:$AX$37,◆入力◆④「1個放水」計算!$AL$43:$AX$43),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H12" s="90">
        <f>IF($U12="仕切弁",LOOKUP($I11,◆入力◆④「1個放水」計算!$AL$48:$AX$48,◆入力◆④「1個放水」計算!$AL$53:$AX$53),IF($U12="逆止弁",LOOKUP($I11,◆入力◆④「1個放水」計算!$AL$48:$AX$48,◆入力◆④「1個放水」計算!$AL$54:$AX$54),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I12" s="90">
        <f>IF($U12="仕切弁",LOOKUP($I11,◆入力◆④「1個放水」計算!$AL$59:$AX$59,◆入力◆④「1個放水」計算!$AL$65:$AX$65),IF($U12="逆止弁",LOOKUP($I11,◆入力◆④「1個放水」計算!$AL$59:$AX$59,◆入力◆④「1個放水」計算!$AL$66:$AX$66),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J12" s="144"/>
      <c r="BB12" s="50"/>
    </row>
    <row r="13" spans="6:72" x14ac:dyDescent="0.15">
      <c r="F13" s="235" t="s">
        <v>22</v>
      </c>
      <c r="G13" s="40"/>
      <c r="H13" s="168"/>
      <c r="I13" s="189" t="str">
        <f>IF(H13="","",◆入力◆①配管容量!$M$3)</f>
        <v/>
      </c>
      <c r="J13" s="40"/>
      <c r="K13" s="94"/>
      <c r="L13" s="95"/>
      <c r="M13" s="96"/>
      <c r="N13" s="85"/>
      <c r="O13" s="77" t="str">
        <f>IF(I14="","","E９０°")</f>
        <v/>
      </c>
      <c r="P13" s="173"/>
      <c r="Q13" s="78">
        <f>IF(I14=0,0,IF(I13="SGP-VB",LOOKUP(I14,◆入力◆④「1個放水」計算!$AL$4:$AX$4,◆入力◆④「1個放水」計算!$AL$6:$AX$6),IF(I13="SGP-PB",LOOKUP(I14,◆入力◆④「1個放水」計算!$AL$15:$AX$15,◆入力◆④「1個放水」計算!$AL$17:$AX$17),IF(I13="HIVP",LOOKUP(I14,◆入力◆④「1個放水」計算!$AL$26:$AX$26,◆入力◆④「1個放水」計算!$AL$28:$AX$28),IF(OR(I13="SGP",I13="フレキ"),LOOKUP(I14,◆入力◆④「1個放水」計算!$AL$37:$AX$37,◆入力◆④「1個放水」計算!$AL$39:$AX$39),IF(I13="SUS",LOOKUP(I14,◆入力◆④「1個放水」計算!$AL$48:$AX$48,◆入力◆④「1個放水」計算!$AL$50:$AX$50),IF(OR(I13="PE",I13="PP"),LOOKUP(I14,◆入力◆④「1個放水」計算!$AL$59:$AX$59,◆入力◆④「1個放水」計算!$AL$61:$AX$61))))))))</f>
        <v>0</v>
      </c>
      <c r="R13" s="79">
        <f t="shared" si="0"/>
        <v>0</v>
      </c>
      <c r="S13" s="80"/>
      <c r="T13" s="81">
        <v>0</v>
      </c>
      <c r="U13" s="176"/>
      <c r="V13" s="173"/>
      <c r="W13" s="79">
        <f>IF($U13="Yスト",AC13,IF($I13="sgp-vb",AD13,IF($I13="sgp-pb",AE13,IF($I13="hivp",AF13,IF(OR($I13="sgp",$I13="フレキ"),AG13,IF($I13="sus",AH13,IF(OR($I13="PE",$I13="PP"),AI13,0)))))))</f>
        <v>0</v>
      </c>
      <c r="X13" s="79">
        <f t="shared" si="1"/>
        <v>0</v>
      </c>
      <c r="Y13" s="80"/>
      <c r="Z13" s="84">
        <f>IF(AND($U13="電動弁",$V13=1),LOOKUP($K14,$AL$77:$BQ$77,$AL$78:$BQ$78),IF(AND($U13="逆流防止装置E",$V13=1),LOOKUP($I14,$AN$106:$AR$106,$AN110:$AR110),IF(AND($U13="逆流防止装置K",$V13=1),LOOKUP($I14,$AN$106:$AR$106,$AN111:$AR111),IF(AND($U13="逆流防止装置T",$V13=1),LOOKUP($I14,$AN$106:$AR$106,$AN112:$AR112),0))))</f>
        <v>0</v>
      </c>
      <c r="AA13" s="40"/>
      <c r="AB13" s="76"/>
      <c r="AC13" s="86">
        <f>IF(U13="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3" s="86">
        <f>IF($U13="仕切弁",LOOKUP($I14,◆入力◆④「1個放水」計算!$AL$4:$AX$4,◆入力◆④「1個放水」計算!$AL$9:$AX$9),IF($U13="逆止弁",LOOKUP($I14,◆入力◆④「1個放水」計算!$AL$4:$AX$4,◆入力◆④「1個放水」計算!$AL$10:$AX$10),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E13" s="86">
        <f>IF($U13="仕切弁",LOOKUP($I14,◆入力◆④「1個放水」計算!$AL$15:$AX$15,◆入力◆④「1個放水」計算!$AL$20:$AX$20),IF($U13="逆止弁",LOOKUP($I14,◆入力◆④「1個放水」計算!$AL$15:$AX$15,◆入力◆④「1個放水」計算!$AL$21:$AX$21),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F13" s="86">
        <f>IF($U13="仕切弁",LOOKUP($I14,◆入力◆④「1個放水」計算!$AL$26:$AX$26,◆入力◆④「1個放水」計算!$AL$31:$AX$31),IF($U13="逆止弁",LOOKUP($I14,◆入力◆④「1個放水」計算!$AL$26:$AX$26,◆入力◆④「1個放水」計算!$AL$32:$AX$32),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G13" s="86">
        <f>IF($U13="仕切弁",LOOKUP($I14,◆入力◆④「1個放水」計算!$AL$37:$AX$37,◆入力◆④「1個放水」計算!$AL$42:$AX$42),IF($U13="逆止弁",LOOKUP($I14,◆入力◆④「1個放水」計算!$AL$37:$AX$37,◆入力◆④「1個放水」計算!$AL$43:$AX$43),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H13" s="86">
        <f>IF($U13="仕切弁",LOOKUP($I14,◆入力◆④「1個放水」計算!$AL$48:$AX$48,◆入力◆④「1個放水」計算!$AL$53:$AX$53),IF($U13="逆止弁",LOOKUP($I14,◆入力◆④「1個放水」計算!$AL$48:$AX$48,◆入力◆④「1個放水」計算!$AL$54:$AX$54),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I13" s="86">
        <f>IF($U13="仕切弁",LOOKUP($I14,◆入力◆④「1個放水」計算!$AL$59:$AX$59,◆入力◆④「1個放水」計算!$AL$65:$AX$65),IF($U13="逆止弁",LOOKUP($I14,◆入力◆④「1個放水」計算!$AL$59:$AX$59,◆入力◆④「1個放水」計算!$AL$66:$AX$66),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J13" s="144"/>
      <c r="BB13" s="50"/>
    </row>
    <row r="14" spans="6:72" x14ac:dyDescent="0.15">
      <c r="F14" s="235"/>
      <c r="G14" s="40"/>
      <c r="H14" s="186">
        <f>IF(H13=2,"②－③",IF(H13=1,"①－②",0))</f>
        <v>0</v>
      </c>
      <c r="I14" s="170"/>
      <c r="J14" s="40"/>
      <c r="K14" s="134" t="str">
        <f>IF(I14="","",K11)</f>
        <v/>
      </c>
      <c r="L14" s="74">
        <f>IF(I14="",0,IF(I14&gt;=65,K14^1.85*0.012/I15^4.87,ROUNDUP((0.0126+(0.01739-(0.1087*I15/100))/SQRT(4*K14/(60000*PI()*(I15/100)^2)))*(1/(I15/100))*((4*K14/(60000*PI()*(I15/100)^2))^2/(2*9.8)),4)))</f>
        <v>0</v>
      </c>
      <c r="M14" s="172"/>
      <c r="N14" s="84">
        <f>ROUNDUP(L14*M14,2)</f>
        <v>0</v>
      </c>
      <c r="O14" s="87" t="str">
        <f>IF(I14="","","Ｔ直")</f>
        <v/>
      </c>
      <c r="P14" s="174"/>
      <c r="Q14" s="88">
        <f>IF(I14=0,0,IF(I13="SGP-VB",LOOKUP(I14,◆入力◆④「1個放水」計算!$AL$4:$AX$4,◆入力◆④「1個放水」計算!$AL$7:$AX$7),IF(I13="SGP-PB",LOOKUP(I14,◆入力◆④「1個放水」計算!$AL$15:$AX$15,◆入力◆④「1個放水」計算!$AL$18:$AX$18),IF(I13="HIVP",LOOKUP(I14,◆入力◆④「1個放水」計算!$AL$26:$AX$26,◆入力◆④「1個放水」計算!$AL$29:$AX$29),IF(OR(I13="SGP",I13="フレキ"),LOOKUP(I14,◆入力◆④「1個放水」計算!$AL$37:$AX$37,◆入力◆④「1個放水」計算!$AL$40:$AX$40),IF(I13="SUS",LOOKUP(I14,◆入力◆④「1個放水」計算!$AL$48:$AX$48,◆入力◆④「1個放水」計算!$AL$51:$AX$51),IF(OR(I13="PE",I13="PP"),LOOKUP(I14,◆入力◆④「1個放水」計算!$AL$59:$AX$59,◆入力◆④「1個放水」計算!$AL$63:$AX$63))))))))</f>
        <v>0</v>
      </c>
      <c r="R14" s="82">
        <f t="shared" si="0"/>
        <v>0</v>
      </c>
      <c r="S14" s="83">
        <f>R13+R14+R15</f>
        <v>0</v>
      </c>
      <c r="T14" s="84">
        <f>ROUNDUP(L14*S14,2)</f>
        <v>0</v>
      </c>
      <c r="U14" s="177"/>
      <c r="V14" s="174"/>
      <c r="W14" s="82">
        <f>IF($U14="Yスト",AC14,IF($I13="sgp-vb",AD14,IF($I13="sgp-pb",AE14,IF($I13="hivp",AF14,IF(OR($I13="sgp",$I13="フレキ"),AG14,IF($I13="sus",AH14,IF(OR($I13="PE",$I13="PP"),AI14,0)))))))</f>
        <v>0</v>
      </c>
      <c r="X14" s="82">
        <f t="shared" si="1"/>
        <v>0</v>
      </c>
      <c r="Y14" s="83">
        <f>SUM(X13:X15)</f>
        <v>0</v>
      </c>
      <c r="Z14" s="84">
        <f t="shared" ref="Z14" si="2">IF(AND($U14="電動弁",$V14=1),LOOKUP($K14,$AL$77:$BQ$77,$AL$78:$BQ$78),IF(AND($U14="逆流防止装置E",$V14=1),LOOKUP($I14,$AN$106:$AR$106,$AN110:$AR110),IF(AND($U14="逆流防止装置K",$V14=1),LOOKUP($I14,$AN$106:$AR$106,$AN111:$AR111),IF(AND($U14="逆流防止装置T",$V14=1),LOOKUP($I14,$AN$106:$AR$106,$AN112:$AR112),0))))</f>
        <v>0</v>
      </c>
      <c r="AA14" s="40"/>
      <c r="AB14" s="84">
        <f>N14+T14+Z13+Z14+Z15</f>
        <v>0</v>
      </c>
      <c r="AC14" s="89">
        <f>IF(U14="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4" s="90">
        <f>IF($U14="仕切弁",LOOKUP($I14,◆入力◆④「1個放水」計算!$AL$4:$AX$4,◆入力◆④「1個放水」計算!$AL$9:$AX$9),IF($U14="逆止弁",LOOKUP($I14,◆入力◆④「1個放水」計算!$AL$4:$AX$4,◆入力◆④「1個放水」計算!$AL$10:$AX$10),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E14" s="90">
        <f>IF($U14="仕切弁",LOOKUP($I14,◆入力◆④「1個放水」計算!$AL$15:$AX$15,◆入力◆④「1個放水」計算!$AL$20:$AX$20),IF($U14="逆止弁",LOOKUP($I14,◆入力◆④「1個放水」計算!$AL$15:$AX$15,◆入力◆④「1個放水」計算!$AL$21:$AX$21),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F14" s="90">
        <f>IF($U14="仕切弁",LOOKUP($I14,◆入力◆④「1個放水」計算!$AL$26:$AX$26,◆入力◆④「1個放水」計算!$AL$31:$AX$31),IF($U14="逆止弁",LOOKUP($I14,◆入力◆④「1個放水」計算!$AL$26:$AX$26,◆入力◆④「1個放水」計算!$AL$32:$AX$32),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G14" s="90">
        <f>IF($U14="仕切弁",LOOKUP($I14,◆入力◆④「1個放水」計算!$AL$37:$AX$37,◆入力◆④「1個放水」計算!$AL$42:$AX$42),IF($U14="逆止弁",LOOKUP($I14,◆入力◆④「1個放水」計算!$AL$37:$AX$37,◆入力◆④「1個放水」計算!$AL$43:$AX$43),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H14" s="90">
        <f>IF($U14="仕切弁",LOOKUP($I14,◆入力◆④「1個放水」計算!$AL$48:$AX$48,◆入力◆④「1個放水」計算!$AL$53:$AX$53),IF($U14="逆止弁",LOOKUP($I14,◆入力◆④「1個放水」計算!$AL$48:$AX$48,◆入力◆④「1個放水」計算!$AL$54:$AX$54),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I14" s="90">
        <f>IF($U14="仕切弁",LOOKUP($I14,◆入力◆④「1個放水」計算!$AL$59:$AX$59,◆入力◆④「1個放水」計算!$AL$65:$AX$65),IF($U14="逆止弁",LOOKUP($I14,◆入力◆④「1個放水」計算!$AL$59:$AX$59,◆入力◆④「1個放水」計算!$AL$66:$AX$66),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J14" s="144"/>
      <c r="AK14" s="55" t="s">
        <v>53</v>
      </c>
      <c r="AL14" s="40"/>
      <c r="AM14" s="40"/>
      <c r="AN14" s="40"/>
      <c r="AO14" s="56" t="s">
        <v>54</v>
      </c>
      <c r="AP14" s="40"/>
      <c r="AQ14" s="40"/>
      <c r="AR14" s="40"/>
      <c r="AS14" s="40"/>
      <c r="AT14" s="40"/>
      <c r="AU14" s="40"/>
      <c r="BB14" s="50"/>
    </row>
    <row r="15" spans="6:72" x14ac:dyDescent="0.15">
      <c r="F15" s="235"/>
      <c r="G15" s="40"/>
      <c r="H15" s="149"/>
      <c r="I15" s="91">
        <f>IF(I14="",0,IF(I13="SGP-VB",LOOKUP(I14,◆入力◆④「1個放水」計算!$AL$4:$AX$4,◆入力◆④「1個放水」計算!$AL$5:$AX$5),IF(I13="SGP-PB",LOOKUP(I14,◆入力◆④「1個放水」計算!$AL$15:$AX$15,◆入力◆④「1個放水」計算!$AL$16:$AX$16),IF(I13="HIVP",LOOKUP(I14,◆入力◆④「1個放水」計算!$AL$26:$AX$26,◆入力◆④「1個放水」計算!$AL$27:$AX$27),IF(OR(I13="SGP",I13="フレキ"),LOOKUP(I14,◆入力◆④「1個放水」計算!$AL$37:$AX$37,◆入力◆④「1個放水」計算!$AL$38:$AX$38),IF(I13="SUS",LOOKUP(I14,◆入力◆④「1個放水」計算!$AL$48:$AX$48,◆入力◆④「1個放水」計算!$AL$49:$AX$49),IF(OR(I13="PE",I13="PP"),LOOKUP(I14,◆入力◆④「1個放水」計算!$AL$59:$AX$59,◆入力◆④「1個放水」計算!$AL$60:$AX$60))))))))</f>
        <v>0</v>
      </c>
      <c r="J15" s="40"/>
      <c r="K15" s="97"/>
      <c r="L15" s="98"/>
      <c r="M15" s="99"/>
      <c r="N15" s="93"/>
      <c r="O15" s="87" t="str">
        <f>IF(I14="","","Ｔ分")</f>
        <v/>
      </c>
      <c r="P15" s="175"/>
      <c r="Q15" s="88">
        <f>IF(I14=0,0,IF(I13="SGP-VB",LOOKUP(I14,◆入力◆④「1個放水」計算!$AL$4:$AX$4,◆入力◆④「1個放水」計算!$AL$8:$AX$8),IF(I13="SGP-PB",LOOKUP(I14,◆入力◆④「1個放水」計算!$AL$15:$AX$15,◆入力◆④「1個放水」計算!$AL$19:$AX$19),IF(I13="HIVP",LOOKUP(I14,◆入力◆④「1個放水」計算!$AL$26:$AX$26,◆入力◆④「1個放水」計算!$AL$30:$AX$30),IF(OR(I13="SGP",I13="フレキ"),LOOKUP(I14,◆入力◆④「1個放水」計算!$AL$37:$AX$37,◆入力◆④「1個放水」計算!$AL$41:$AX$41),IF(I13="SUS",LOOKUP(I14,◆入力◆④「1個放水」計算!$AL$48:$AX$48,◆入力◆④「1個放水」計算!$AL$52:$AX$52),IF(OR(I13="PE",I13="PP"),LOOKUP(I14,◆入力◆④「1個放水」計算!$AL$59:$AX$59,◆入力◆④「1個放水」計算!$AL$64:$AX$64))))))))</f>
        <v>0</v>
      </c>
      <c r="R15" s="100">
        <f t="shared" si="0"/>
        <v>0</v>
      </c>
      <c r="S15" s="101"/>
      <c r="T15" s="92"/>
      <c r="U15" s="179"/>
      <c r="V15" s="175"/>
      <c r="W15" s="100">
        <f>IF($U15="Yスト",AC15,IF($I13="sgp-vb",AD15,IF($I13="sgp-pb",AE15,IF($I13="hivp",AF15,IF(OR($I13="sgp",$I13="フレキ"),AG15,IF($I13="sus",AH15,IF(OR($I13="PE",$I13="PP"),AI15,0)))))))</f>
        <v>0</v>
      </c>
      <c r="X15" s="100">
        <f t="shared" si="1"/>
        <v>0</v>
      </c>
      <c r="Y15" s="101"/>
      <c r="Z15" s="92">
        <f t="shared" ref="Z15" si="3">ROUNDUP(L14*Y14,2)</f>
        <v>0</v>
      </c>
      <c r="AA15" s="40"/>
      <c r="AB15" s="76"/>
      <c r="AC15" s="90">
        <f>IF(U15="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5" s="90">
        <f>IF($U15="仕切弁",LOOKUP($I14,◆入力◆④「1個放水」計算!$AL$4:$AX$4,◆入力◆④「1個放水」計算!$AL$9:$AX$9),IF($U15="逆止弁",LOOKUP($I14,◆入力◆④「1個放水」計算!$AL$4:$AX$4,◆入力◆④「1個放水」計算!$AL$10:$AX$10),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E15" s="90">
        <f>IF($U15="仕切弁",LOOKUP($I14,◆入力◆④「1個放水」計算!$AL$15:$AX$15,◆入力◆④「1個放水」計算!$AL$20:$AX$20),IF($U15="逆止弁",LOOKUP($I14,◆入力◆④「1個放水」計算!$AL$15:$AX$15,◆入力◆④「1個放水」計算!$AL$21:$AX$21),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F15" s="90">
        <f>IF($U15="仕切弁",LOOKUP($I14,◆入力◆④「1個放水」計算!$AL$26:$AX$26,◆入力◆④「1個放水」計算!$AL$31:$AX$31),IF($U15="逆止弁",LOOKUP($I14,◆入力◆④「1個放水」計算!$AL$26:$AX$26,◆入力◆④「1個放水」計算!$AL$32:$AX$32),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G15" s="90">
        <f>IF($U15="仕切弁",LOOKUP($I14,◆入力◆④「1個放水」計算!$AL$37:$AX$37,◆入力◆④「1個放水」計算!$AL$42:$AX$42),IF($U15="逆止弁",LOOKUP($I14,◆入力◆④「1個放水」計算!$AL$37:$AX$37,◆入力◆④「1個放水」計算!$AL$43:$AX$43),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H15" s="90">
        <f>IF($U15="仕切弁",LOOKUP($I14,◆入力◆④「1個放水」計算!$AL$48:$AX$48,◆入力◆④「1個放水」計算!$AL$53:$AX$53),IF($U15="逆止弁",LOOKUP($I14,◆入力◆④「1個放水」計算!$AL$48:$AX$48,◆入力◆④「1個放水」計算!$AL$54:$AX$54),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I15" s="90">
        <f>IF($U15="仕切弁",LOOKUP($I14,◆入力◆④「1個放水」計算!$AL$59:$AX$59,◆入力◆④「1個放水」計算!$AL$65:$AX$65),IF($U15="逆止弁",LOOKUP($I14,◆入力◆④「1個放水」計算!$AL$59:$AX$59,◆入力◆④「1個放水」計算!$AL$66:$AX$66),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J15" s="144"/>
      <c r="AK15" s="57" t="s">
        <v>75</v>
      </c>
      <c r="AL15" s="58">
        <v>15</v>
      </c>
      <c r="AM15" s="58">
        <v>20</v>
      </c>
      <c r="AN15" s="58">
        <v>25</v>
      </c>
      <c r="AO15" s="58">
        <v>32</v>
      </c>
      <c r="AP15" s="58">
        <v>40</v>
      </c>
      <c r="AQ15" s="58">
        <v>50</v>
      </c>
      <c r="AR15" s="58"/>
      <c r="AS15" s="58"/>
      <c r="AT15" s="58"/>
      <c r="AU15" s="58"/>
      <c r="AV15" s="102"/>
      <c r="AW15" s="102"/>
      <c r="AX15" s="102"/>
      <c r="BB15" s="50"/>
    </row>
    <row r="16" spans="6:72" x14ac:dyDescent="0.15">
      <c r="F16" s="235" t="s">
        <v>23</v>
      </c>
      <c r="G16" s="40"/>
      <c r="H16" s="168"/>
      <c r="I16" s="189" t="str">
        <f>IF(H16="","",◆入力◆①配管容量!$M$3)</f>
        <v/>
      </c>
      <c r="J16" s="40"/>
      <c r="K16" s="134"/>
      <c r="L16" s="74"/>
      <c r="M16" s="75"/>
      <c r="N16" s="76"/>
      <c r="O16" s="77" t="str">
        <f>IF(I17="","","E９０°")</f>
        <v/>
      </c>
      <c r="P16" s="173"/>
      <c r="Q16" s="78">
        <f>IF(I17=0,0,IF(I16="SGP-VB",LOOKUP(I17,◆入力◆④「1個放水」計算!$AL$4:$AX$4,◆入力◆④「1個放水」計算!$AL$6:$AX$6),IF(I16="SGP-PB",LOOKUP(I17,◆入力◆④「1個放水」計算!$AL$15:$AX$15,◆入力◆④「1個放水」計算!$AL$17:$AX$17),IF(I16="HIVP",LOOKUP(I17,◆入力◆④「1個放水」計算!$AL$26:$AX$26,◆入力◆④「1個放水」計算!$AL$28:$AX$28),IF(OR(I16="SGP",I16="フレキ"),LOOKUP(I17,◆入力◆④「1個放水」計算!$AL$37:$AX$37,◆入力◆④「1個放水」計算!$AL$39:$AX$39),IF(I16="SUS",LOOKUP(I17,◆入力◆④「1個放水」計算!$AL$48:$AX$48,◆入力◆④「1個放水」計算!$AL$50:$AX$50),IF(OR(I16="PE",I16="PP"),LOOKUP(I17,◆入力◆④「1個放水」計算!$AL$59:$AX$59,◆入力◆④「1個放水」計算!$AL$61:$AX$61))))))))</f>
        <v>0</v>
      </c>
      <c r="R16" s="79">
        <f t="shared" si="0"/>
        <v>0</v>
      </c>
      <c r="S16" s="80"/>
      <c r="T16" s="81">
        <v>0</v>
      </c>
      <c r="U16" s="176"/>
      <c r="V16" s="174"/>
      <c r="W16" s="82">
        <f>IF($U16="Yスト",AC16,IF($I16="sgp-vb",AD16,IF($I16="sgp-pb",AE16,IF($I16="hivp",AF16,IF(OR($I16="sgp",$I16="フレキ"),AG16,IF($I16="sus",AH16,IF(OR($I16="PE",$I16="PP"),AI16,0)))))))</f>
        <v>0</v>
      </c>
      <c r="X16" s="82">
        <f t="shared" si="1"/>
        <v>0</v>
      </c>
      <c r="Y16" s="83"/>
      <c r="Z16" s="84">
        <f t="shared" ref="Z16" si="4">IF(AND($U16="電動弁",$V16=1),LOOKUP($K17,$AL$77:$BQ$77,$AL$78:$BQ$78),IF(AND($U16="逆流防止装置E",$V16=1),LOOKUP($I17,$AN$106:$AR$106,$AN113:$AR113),IF(AND($U16="逆流防止装置K",$V16=1),LOOKUP($I17,$AN$106:$AR$106,$AN114:$AR114),IF(AND($U16="逆流防止装置T",$V16=1),LOOKUP($I17,$AN$106:$AR$106,$AN115:$AR115),0))))</f>
        <v>0</v>
      </c>
      <c r="AA16" s="40"/>
      <c r="AB16" s="85"/>
      <c r="AC16" s="86">
        <f>IF(U16="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6" s="86">
        <f>IF($U16="仕切弁",LOOKUP($I17,◆入力◆④「1個放水」計算!$AL$4:$AX$4,◆入力◆④「1個放水」計算!$AL$9:$AX$9),IF($U16="逆止弁",LOOKUP($I17,◆入力◆④「1個放水」計算!$AL$4:$AX$4,◆入力◆④「1個放水」計算!$AL$10:$AX$10),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E16" s="86">
        <f>IF($U16="仕切弁",LOOKUP($I17,◆入力◆④「1個放水」計算!$AL$15:$AX$15,◆入力◆④「1個放水」計算!$AL$20:$AX$20),IF($U16="逆止弁",LOOKUP($I17,◆入力◆④「1個放水」計算!$AL$15:$AX$15,◆入力◆④「1個放水」計算!$AL$21:$AX$21),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F16" s="86">
        <f>IF($U16="仕切弁",LOOKUP($I17,◆入力◆④「1個放水」計算!$AL$26:$AX$26,◆入力◆④「1個放水」計算!$AL$31:$AX$31),IF($U16="逆止弁",LOOKUP($I17,◆入力◆④「1個放水」計算!$AL$26:$AX$26,◆入力◆④「1個放水」計算!$AL$32:$AX$32),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G16" s="86">
        <f>IF($U16="仕切弁",LOOKUP($I17,◆入力◆④「1個放水」計算!$AL$37:$AX$37,◆入力◆④「1個放水」計算!$AL$42:$AX$42),IF($U16="逆止弁",LOOKUP($I17,◆入力◆④「1個放水」計算!$AL$37:$AX$37,◆入力◆④「1個放水」計算!$AL$43:$AX$43),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H16" s="86">
        <f>IF($U16="仕切弁",LOOKUP($I17,◆入力◆④「1個放水」計算!$AL$48:$AX$48,◆入力◆④「1個放水」計算!$AL$53:$AX$53),IF($U16="逆止弁",LOOKUP($I17,◆入力◆④「1個放水」計算!$AL$48:$AX$48,◆入力◆④「1個放水」計算!$AL$54:$AX$54),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I16" s="86">
        <f>IF($U16="仕切弁",LOOKUP($I17,◆入力◆④「1個放水」計算!$AL$59:$AX$59,◆入力◆④「1個放水」計算!$AL$65:$AX$65),IF($U16="逆止弁",LOOKUP($I17,◆入力◆④「1個放水」計算!$AL$59:$AX$59,◆入力◆④「1個放水」計算!$AL$66:$AX$66),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J16" s="144"/>
      <c r="AK16" s="57" t="s">
        <v>76</v>
      </c>
      <c r="AL16" s="103">
        <v>1.55</v>
      </c>
      <c r="AM16" s="103">
        <v>2.1</v>
      </c>
      <c r="AN16" s="103">
        <v>2.7</v>
      </c>
      <c r="AO16" s="103">
        <v>3.5</v>
      </c>
      <c r="AP16" s="103">
        <v>4.09</v>
      </c>
      <c r="AQ16" s="103">
        <v>5.22</v>
      </c>
      <c r="AR16" s="103"/>
      <c r="AS16" s="103"/>
      <c r="AT16" s="103"/>
      <c r="AU16" s="103"/>
      <c r="AV16" s="102"/>
      <c r="AW16" s="102"/>
      <c r="AX16" s="102"/>
      <c r="AY16" s="40"/>
      <c r="BB16" s="50"/>
    </row>
    <row r="17" spans="6:72" x14ac:dyDescent="0.15">
      <c r="F17" s="235"/>
      <c r="G17" s="40"/>
      <c r="H17" s="186">
        <f>IF(H16=3,"③－④",IF(H16=2,"②－③",0))</f>
        <v>0</v>
      </c>
      <c r="I17" s="170"/>
      <c r="J17" s="40"/>
      <c r="K17" s="134" t="str">
        <f>IF(I17="","",K14)</f>
        <v/>
      </c>
      <c r="L17" s="74">
        <f>IF(I17="",0,IF(I17&gt;=65,K17^1.85*0.012/I18^4.87,ROUNDUP((0.0126+(0.01739-(0.1087*I18/100))/SQRT(4*K17/(60000*PI()*(I18/100)^2)))*(1/(I18/100))*((4*K17/(60000*PI()*(I18/100)^2))^2/(2*9.8)),4)))</f>
        <v>0</v>
      </c>
      <c r="M17" s="172"/>
      <c r="N17" s="84">
        <f>ROUNDUP(L17*M17,2)</f>
        <v>0</v>
      </c>
      <c r="O17" s="87" t="str">
        <f>IF(I17="","","Ｔ直")</f>
        <v/>
      </c>
      <c r="P17" s="174"/>
      <c r="Q17" s="88">
        <f>IF(I17=0,0,IF(I16="SGP-VB",LOOKUP(I17,◆入力◆④「1個放水」計算!$AL$4:$AX$4,◆入力◆④「1個放水」計算!$AL$7:$AX$7),IF(I16="SGP-PB",LOOKUP(I17,◆入力◆④「1個放水」計算!$AL$15:$AX$15,◆入力◆④「1個放水」計算!$AL$18:$AX$18),IF(I16="HIVP",LOOKUP(I17,◆入力◆④「1個放水」計算!$AL$26:$AX$26,◆入力◆④「1個放水」計算!$AL$29:$AX$29),IF(OR(I16="SGP",I16="フレキ"),LOOKUP(I17,◆入力◆④「1個放水」計算!$AL$37:$AX$37,◆入力◆④「1個放水」計算!$AL$40:$AX$40),IF(I16="SUS",LOOKUP(I17,◆入力◆④「1個放水」計算!$AL$48:$AX$48,◆入力◆④「1個放水」計算!$AL$51:$AX$51),IF(OR(I16="PE",I16="PP"),LOOKUP(I17,◆入力◆④「1個放水」計算!$AL$59:$AX$59,◆入力◆④「1個放水」計算!$AL$63:$AX$63))))))))</f>
        <v>0</v>
      </c>
      <c r="R17" s="82">
        <f t="shared" si="0"/>
        <v>0</v>
      </c>
      <c r="S17" s="83">
        <f>R16+R17+R18</f>
        <v>0</v>
      </c>
      <c r="T17" s="84">
        <f>ROUNDUP(L17*S17,2)</f>
        <v>0</v>
      </c>
      <c r="U17" s="177"/>
      <c r="V17" s="174"/>
      <c r="W17" s="82">
        <f>IF($U17="Yスト",AC17,IF($I16="sgp-vb",AD17,IF($I16="sgp-pb",AE17,IF($I16="hivp",AF17,IF(OR($I16="sgp",$I16="フレキ"),AG17,IF($I16="sus",AH17,IF(OR($I16="PE",$I16="PP"),AI17,0)))))))</f>
        <v>0</v>
      </c>
      <c r="X17" s="82">
        <f t="shared" si="1"/>
        <v>0</v>
      </c>
      <c r="Y17" s="83">
        <f>SUM(X16:X18)</f>
        <v>0</v>
      </c>
      <c r="Z17" s="84">
        <f t="shared" ref="Z17" si="5">IF(AND($U17="電動弁",$V17=1),LOOKUP($K17,$AL$77:$BQ$77,$AL$78:$BQ$78),IF(AND($U17="逆流防止装置E",$V17=1),LOOKUP($I17,$AN$106:$AR$106,$AN113:$AR113),IF(AND($U17="逆流防止装置K",$V17=1),LOOKUP($I17,$AN$106:$AR$106,$AN114:$AR114),IF(AND($U17="逆流防止装置T",$V17=1),LOOKUP($I17,$AN$106:$AR$106,$AN115:$AR115),0))))</f>
        <v>0</v>
      </c>
      <c r="AA17" s="40"/>
      <c r="AB17" s="84">
        <f>N17+T17+Z16+Z17+Z18</f>
        <v>0</v>
      </c>
      <c r="AC17" s="89">
        <f>IF(U17="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7" s="90">
        <f>IF($U17="仕切弁",LOOKUP($I17,◆入力◆④「1個放水」計算!$AL$4:$AX$4,◆入力◆④「1個放水」計算!$AL$9:$AX$9),IF($U17="逆止弁",LOOKUP($I17,◆入力◆④「1個放水」計算!$AL$4:$AX$4,◆入力◆④「1個放水」計算!$AL$10:$AX$10),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E17" s="90">
        <f>IF($U17="仕切弁",LOOKUP($I17,◆入力◆④「1個放水」計算!$AL$15:$AX$15,◆入力◆④「1個放水」計算!$AL$20:$AX$20),IF($U17="逆止弁",LOOKUP($I17,◆入力◆④「1個放水」計算!$AL$15:$AX$15,◆入力◆④「1個放水」計算!$AL$21:$AX$21),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F17" s="90">
        <f>IF($U17="仕切弁",LOOKUP($I17,◆入力◆④「1個放水」計算!$AL$26:$AX$26,◆入力◆④「1個放水」計算!$AL$31:$AX$31),IF($U17="逆止弁",LOOKUP($I17,◆入力◆④「1個放水」計算!$AL$26:$AX$26,◆入力◆④「1個放水」計算!$AL$32:$AX$32),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G17" s="90">
        <f>IF($U17="仕切弁",LOOKUP($I17,◆入力◆④「1個放水」計算!$AL$37:$AX$37,◆入力◆④「1個放水」計算!$AL$42:$AX$42),IF($U17="逆止弁",LOOKUP($I17,◆入力◆④「1個放水」計算!$AL$37:$AX$37,◆入力◆④「1個放水」計算!$AL$43:$AX$43),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H17" s="90">
        <f>IF($U17="仕切弁",LOOKUP($I17,◆入力◆④「1個放水」計算!$AL$48:$AX$48,◆入力◆④「1個放水」計算!$AL$53:$AX$53),IF($U17="逆止弁",LOOKUP($I17,◆入力◆④「1個放水」計算!$AL$48:$AX$48,◆入力◆④「1個放水」計算!$AL$54:$AX$54),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I17" s="90">
        <f>IF($U17="仕切弁",LOOKUP($I17,◆入力◆④「1個放水」計算!$AL$59:$AX$59,◆入力◆④「1個放水」計算!$AL$65:$AX$65),IF($U17="逆止弁",LOOKUP($I17,◆入力◆④「1個放水」計算!$AL$59:$AX$59,◆入力◆④「1個放水」計算!$AL$66:$AX$66),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J17" s="144"/>
      <c r="AK17" s="57" t="s">
        <v>4</v>
      </c>
      <c r="AL17" s="63">
        <v>6.6</v>
      </c>
      <c r="AM17" s="63">
        <v>5.5</v>
      </c>
      <c r="AN17" s="63">
        <v>5</v>
      </c>
      <c r="AO17" s="63">
        <v>5</v>
      </c>
      <c r="AP17" s="63">
        <v>4.4000000000000004</v>
      </c>
      <c r="AQ17" s="63">
        <v>4.0999999999999996</v>
      </c>
      <c r="AR17" s="103"/>
      <c r="AS17" s="103"/>
      <c r="AT17" s="103"/>
      <c r="AU17" s="103"/>
      <c r="AV17" s="102"/>
      <c r="AW17" s="102"/>
      <c r="AX17" s="102"/>
      <c r="AY17" s="40"/>
      <c r="BB17" s="50"/>
    </row>
    <row r="18" spans="6:72" x14ac:dyDescent="0.15">
      <c r="F18" s="235"/>
      <c r="G18" s="40"/>
      <c r="H18" s="145"/>
      <c r="I18" s="91">
        <f>IF(I17="",0,IF(I16="SGP-VB",LOOKUP(I17,◆入力◆④「1個放水」計算!$AL$4:$AX$4,◆入力◆④「1個放水」計算!$AL$5:$AX$5),IF(I16="SGP-PB",LOOKUP(I17,◆入力◆④「1個放水」計算!$AL$15:$AX$15,◆入力◆④「1個放水」計算!$AL$16:$AX$16),IF(I16="HIVP",LOOKUP(I17,◆入力◆④「1個放水」計算!$AL$26:$AX$26,◆入力◆④「1個放水」計算!$AL$27:$AX$27),IF(OR(I16="SGP",I16="フレキ"),LOOKUP(I17,◆入力◆④「1個放水」計算!$AL$37:$AX$37,◆入力◆④「1個放水」計算!$AL$38:$AX$38),IF(I16="SUS",LOOKUP(I17,◆入力◆④「1個放水」計算!$AL$48:$AX$48,◆入力◆④「1個放水」計算!$AL$49:$AX$49),IF(OR(I16="PE",I16="PP"),LOOKUP(I17,◆入力◆④「1個放水」計算!$AL$59:$AX$59,◆入力◆④「1個放水」計算!$AL$60:$AX$60))))))))</f>
        <v>0</v>
      </c>
      <c r="J18" s="40"/>
      <c r="K18" s="134"/>
      <c r="L18" s="74"/>
      <c r="M18" s="75"/>
      <c r="N18" s="76"/>
      <c r="O18" s="87" t="str">
        <f>IF(I17="","","Ｔ分")</f>
        <v/>
      </c>
      <c r="P18" s="175"/>
      <c r="Q18" s="88">
        <f>IF(I17=0,0,IF(I16="SGP-VB",LOOKUP(I17,◆入力◆④「1個放水」計算!$AL$4:$AX$4,◆入力◆④「1個放水」計算!$AL$8:$AX$8),IF(I16="SGP-PB",LOOKUP(I17,◆入力◆④「1個放水」計算!$AL$15:$AX$15,◆入力◆④「1個放水」計算!$AL$19:$AX$19),IF(I16="HIVP",LOOKUP(I17,◆入力◆④「1個放水」計算!$AL$26:$AX$26,◆入力◆④「1個放水」計算!$AL$30:$AX$30),IF(OR(I16="SGP",I16="フレキ"),LOOKUP(I17,◆入力◆④「1個放水」計算!$AL$37:$AX$37,◆入力◆④「1個放水」計算!$AL$41:$AX$41),IF(I16="SUS",LOOKUP(I17,◆入力◆④「1個放水」計算!$AL$48:$AX$48,◆入力◆④「1個放水」計算!$AL$52:$AX$52),IF(OR(I16="PE",I16="PP"),LOOKUP(I17,◆入力◆④「1個放水」計算!$AL$59:$AX$59,◆入力◆④「1個放水」計算!$AL$64:$AX$64))))))))</f>
        <v>0</v>
      </c>
      <c r="R18" s="100">
        <f t="shared" si="0"/>
        <v>0</v>
      </c>
      <c r="S18" s="101"/>
      <c r="T18" s="92"/>
      <c r="U18" s="178"/>
      <c r="V18" s="174"/>
      <c r="W18" s="100">
        <f>IF($U18="Yスト",AC18,IF($I16="sgp-vb",AD18,IF($I16="sgp-pb",AE18,IF($I16="hivp",AF18,IF(OR($I16="sgp",$I16="フレキ"),AG18,IF($I16="sus",AH18,IF(OR($I16="PE",$I16="PP"),AI18,0)))))))</f>
        <v>0</v>
      </c>
      <c r="X18" s="82">
        <f t="shared" si="1"/>
        <v>0</v>
      </c>
      <c r="Y18" s="83"/>
      <c r="Z18" s="92">
        <f t="shared" ref="Z18" si="6">ROUNDUP(L17*Y17,2)</f>
        <v>0</v>
      </c>
      <c r="AA18" s="40"/>
      <c r="AB18" s="93"/>
      <c r="AC18" s="90">
        <f>IF(U18="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8" s="90">
        <f>IF($U18="仕切弁",LOOKUP($I17,◆入力◆④「1個放水」計算!$AL$4:$AX$4,◆入力◆④「1個放水」計算!$AL$9:$AX$9),IF($U18="逆止弁",LOOKUP($I17,◆入力◆④「1個放水」計算!$AL$4:$AX$4,◆入力◆④「1個放水」計算!$AL$10:$AX$10),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E18" s="90">
        <f>IF($U18="仕切弁",LOOKUP($I17,◆入力◆④「1個放水」計算!$AL$15:$AX$15,◆入力◆④「1個放水」計算!$AL$20:$AX$20),IF($U18="逆止弁",LOOKUP($I17,◆入力◆④「1個放水」計算!$AL$15:$AX$15,◆入力◆④「1個放水」計算!$AL$21:$AX$21),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F18" s="90">
        <f>IF($U18="仕切弁",LOOKUP($I17,◆入力◆④「1個放水」計算!$AL$26:$AX$26,◆入力◆④「1個放水」計算!$AL$31:$AX$31),IF($U18="逆止弁",LOOKUP($I17,◆入力◆④「1個放水」計算!$AL$26:$AX$26,◆入力◆④「1個放水」計算!$AL$32:$AX$32),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G18" s="90">
        <f>IF($U18="仕切弁",LOOKUP($I17,◆入力◆④「1個放水」計算!$AL$37:$AX$37,◆入力◆④「1個放水」計算!$AL$42:$AX$42),IF($U18="逆止弁",LOOKUP($I17,◆入力◆④「1個放水」計算!$AL$37:$AX$37,◆入力◆④「1個放水」計算!$AL$43:$AX$43),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H18" s="90">
        <f>IF($U18="仕切弁",LOOKUP($I17,◆入力◆④「1個放水」計算!$AL$48:$AX$48,◆入力◆④「1個放水」計算!$AL$53:$AX$53),IF($U18="逆止弁",LOOKUP($I17,◆入力◆④「1個放水」計算!$AL$48:$AX$48,◆入力◆④「1個放水」計算!$AL$54:$AX$54),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I18" s="90">
        <f>IF($U18="仕切弁",LOOKUP($I17,◆入力◆④「1個放水」計算!$AL$59:$AX$59,◆入力◆④「1個放水」計算!$AL$65:$AX$65),IF($U18="逆止弁",LOOKUP($I17,◆入力◆④「1個放水」計算!$AL$59:$AX$59,◆入力◆④「1個放水」計算!$AL$66:$AX$66),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J18" s="144"/>
      <c r="AK18" s="57" t="s">
        <v>38</v>
      </c>
      <c r="AL18" s="63">
        <v>2.7</v>
      </c>
      <c r="AM18" s="63">
        <v>2.9</v>
      </c>
      <c r="AN18" s="63">
        <v>1.9</v>
      </c>
      <c r="AO18" s="63">
        <v>2</v>
      </c>
      <c r="AP18" s="63">
        <v>1.2</v>
      </c>
      <c r="AQ18" s="63">
        <v>1.2</v>
      </c>
      <c r="AR18" s="63"/>
      <c r="AS18" s="63"/>
      <c r="AT18" s="63"/>
      <c r="AU18" s="63"/>
      <c r="AV18" s="102"/>
      <c r="AW18" s="102"/>
      <c r="AX18" s="102"/>
      <c r="AY18" s="40"/>
      <c r="BB18" s="50"/>
    </row>
    <row r="19" spans="6:72" x14ac:dyDescent="0.15">
      <c r="F19" s="235" t="s">
        <v>24</v>
      </c>
      <c r="G19" s="40"/>
      <c r="H19" s="169"/>
      <c r="I19" s="189" t="str">
        <f>IF(H19="","",◆入力◆①配管容量!$M$3)</f>
        <v/>
      </c>
      <c r="J19" s="40"/>
      <c r="K19" s="148"/>
      <c r="L19" s="95"/>
      <c r="M19" s="96"/>
      <c r="N19" s="85"/>
      <c r="O19" s="77" t="str">
        <f>IF(I20="","","E９０°")</f>
        <v/>
      </c>
      <c r="P19" s="173"/>
      <c r="Q19" s="78">
        <f>IF(I20=0,0,IF(I19="SGP-VB",LOOKUP(I20,◆入力◆④「1個放水」計算!$AL$4:$AX$4,◆入力◆④「1個放水」計算!$AL$6:$AX$6),IF(I19="SGP-PB",LOOKUP(I20,◆入力◆④「1個放水」計算!$AL$15:$AX$15,◆入力◆④「1個放水」計算!$AL$17:$AX$17),IF(I19="HIVP",LOOKUP(I20,◆入力◆④「1個放水」計算!$AL$26:$AX$26,◆入力◆④「1個放水」計算!$AL$28:$AX$28),IF(OR(I19="SGP",I19="フレキ"),LOOKUP(I20,◆入力◆④「1個放水」計算!$AL$37:$AX$37,◆入力◆④「1個放水」計算!$AL$39:$AX$39),IF(I19="SUS",LOOKUP(I20,◆入力◆④「1個放水」計算!$AL$48:$AX$48,◆入力◆④「1個放水」計算!$AL$50:$AX$50),IF(OR(I19="PE",I19="PP"),LOOKUP(I20,◆入力◆④「1個放水」計算!$AL$59:$AX$59,◆入力◆④「1個放水」計算!$AL$61:$AX$61))))))))</f>
        <v>0</v>
      </c>
      <c r="R19" s="79">
        <f t="shared" si="0"/>
        <v>0</v>
      </c>
      <c r="S19" s="80"/>
      <c r="T19" s="81">
        <v>0</v>
      </c>
      <c r="U19" s="239"/>
      <c r="V19" s="173"/>
      <c r="W19" s="82">
        <f>IF($U19="Yスト",AC19,IF($I19="sgp-vb",AD19,IF($I19="sgp-pb",AE19,IF($I19="hivp",AF19,IF(OR($I19="sgp",$I19="フレキ"),AG19,IF($I19="sus",AH19,IF(OR($I19="PE",$I19="PP"),AI19,0)))))))</f>
        <v>0</v>
      </c>
      <c r="X19" s="79">
        <f t="shared" si="1"/>
        <v>0</v>
      </c>
      <c r="Y19" s="80"/>
      <c r="Z19" s="84">
        <f t="shared" ref="Z19" si="7">IF(AND($U19="電動弁",$V19=1),LOOKUP($K20,$AL$77:$BQ$77,$AL$78:$BQ$78),IF(AND($U19="逆流防止装置E",$V19=1),LOOKUP($I20,$AN$106:$AR$106,$AN116:$AR116),IF(AND($U19="逆流防止装置K",$V19=1),LOOKUP($I20,$AN$106:$AR$106,$AN117:$AR117),IF(AND($U19="逆流防止装置T",$V19=1),LOOKUP($I20,$AN$106:$AR$106,$AN118:$AR118),0))))</f>
        <v>0</v>
      </c>
      <c r="AA19" s="40"/>
      <c r="AB19" s="76"/>
      <c r="AC19" s="86">
        <f>IF(U19="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19" s="86">
        <f>IF($U19="仕切弁",LOOKUP($I20,◆入力◆④「1個放水」計算!$AL$4:$AX$4,◆入力◆④「1個放水」計算!$AL$9:$AX$9),IF($U19="逆止弁",LOOKUP($I20,◆入力◆④「1個放水」計算!$AL$4:$AX$4,◆入力◆④「1個放水」計算!$AL$10:$AX$10),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E19" s="86">
        <f>IF($U19="仕切弁",LOOKUP($I20,◆入力◆④「1個放水」計算!$AL$15:$AX$15,◆入力◆④「1個放水」計算!$AL$20:$AX$20),IF($U19="逆止弁",LOOKUP($I20,◆入力◆④「1個放水」計算!$AL$15:$AX$15,◆入力◆④「1個放水」計算!$AL$21:$AX$21),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F19" s="86">
        <f>IF($U19="仕切弁",LOOKUP($I20,◆入力◆④「1個放水」計算!$AL$26:$AX$26,◆入力◆④「1個放水」計算!$AL$31:$AX$31),IF($U19="逆止弁",LOOKUP($I20,◆入力◆④「1個放水」計算!$AL$26:$AX$26,◆入力◆④「1個放水」計算!$AL$32:$AX$32),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G19" s="86">
        <f>IF($U19="仕切弁",LOOKUP($I20,◆入力◆④「1個放水」計算!$AL$37:$AX$37,◆入力◆④「1個放水」計算!$AL$42:$AX$42),IF($U19="逆止弁",LOOKUP($I20,◆入力◆④「1個放水」計算!$AL$37:$AX$37,◆入力◆④「1個放水」計算!$AL$43:$AX$43),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H19" s="86">
        <f>IF($U19="仕切弁",LOOKUP($I20,◆入力◆④「1個放水」計算!$AL$48:$AX$48,◆入力◆④「1個放水」計算!$AL$53:$AX$53),IF($U19="逆止弁",LOOKUP($I20,◆入力◆④「1個放水」計算!$AL$48:$AX$48,◆入力◆④「1個放水」計算!$AL$54:$AX$54),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I19" s="86">
        <f>IF($U19="仕切弁",LOOKUP($I20,◆入力◆④「1個放水」計算!$AL$59:$AX$59,◆入力◆④「1個放水」計算!$AL$65:$AX$65),IF($U19="逆止弁",LOOKUP($I20,◆入力◆④「1個放水」計算!$AL$59:$AX$59,◆入力◆④「1個放水」計算!$AL$66:$AX$66),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J19" s="115"/>
      <c r="AK19" s="57" t="s">
        <v>5</v>
      </c>
      <c r="AL19" s="63">
        <v>8.3000000000000007</v>
      </c>
      <c r="AM19" s="63">
        <v>6.7</v>
      </c>
      <c r="AN19" s="63">
        <v>5.2</v>
      </c>
      <c r="AO19" s="63">
        <v>5.6</v>
      </c>
      <c r="AP19" s="63">
        <v>4.8</v>
      </c>
      <c r="AQ19" s="63">
        <v>4.4000000000000004</v>
      </c>
      <c r="AR19" s="103"/>
      <c r="AS19" s="103"/>
      <c r="AT19" s="103"/>
      <c r="AU19" s="103"/>
      <c r="AV19" s="102"/>
      <c r="AW19" s="102"/>
      <c r="AX19" s="102"/>
      <c r="AY19" s="40"/>
      <c r="AZ19" s="40"/>
      <c r="BA19" s="40"/>
      <c r="BB19" s="180"/>
      <c r="BC19" s="40"/>
      <c r="BD19" s="40"/>
      <c r="BE19" s="40"/>
      <c r="BF19" s="40"/>
      <c r="BG19" s="40"/>
      <c r="BK19" s="40"/>
      <c r="BL19" s="40"/>
      <c r="BM19" s="40"/>
      <c r="BN19" s="40"/>
      <c r="BO19" s="40"/>
      <c r="BP19" s="40"/>
      <c r="BQ19" s="40"/>
      <c r="BR19" s="40"/>
      <c r="BS19" s="40"/>
      <c r="BT19" s="40"/>
    </row>
    <row r="20" spans="6:72" x14ac:dyDescent="0.15">
      <c r="F20" s="235"/>
      <c r="G20" s="40"/>
      <c r="H20" s="186">
        <f>IF(H19=4,"④－⑤",IF(H19=3,"③－④",0))</f>
        <v>0</v>
      </c>
      <c r="I20" s="170"/>
      <c r="J20" s="40"/>
      <c r="K20" s="134" t="str">
        <f>IF(I20="","",K17)</f>
        <v/>
      </c>
      <c r="L20" s="74">
        <f>IF(I20="",0,IF(I20&gt;=65,K20^1.85*0.012/I21^4.87,ROUNDUP((0.0126+(0.01739-(0.1087*I21/100))/SQRT(4*K20/(60000*PI()*(I21/100)^2)))*(1/(I21/100))*((4*K20/(60000*PI()*(I21/100)^2))^2/(2*9.8)),4)))</f>
        <v>0</v>
      </c>
      <c r="M20" s="172"/>
      <c r="N20" s="84">
        <f>ROUNDUP(L20*M20,2)</f>
        <v>0</v>
      </c>
      <c r="O20" s="87" t="str">
        <f>IF(I20="","","Ｔ直")</f>
        <v/>
      </c>
      <c r="P20" s="174"/>
      <c r="Q20" s="88">
        <f>IF(I20=0,0,IF(I19="SGP-VB",LOOKUP(I20,◆入力◆④「1個放水」計算!$AL$4:$AX$4,◆入力◆④「1個放水」計算!$AL$7:$AX$7),IF(I19="SGP-PB",LOOKUP(I20,◆入力◆④「1個放水」計算!$AL$15:$AX$15,◆入力◆④「1個放水」計算!$AL$18:$AX$18),IF(I19="HIVP",LOOKUP(I20,◆入力◆④「1個放水」計算!$AL$26:$AX$26,◆入力◆④「1個放水」計算!$AL$29:$AX$29),IF(OR(I19="SGP",I19="フレキ"),LOOKUP(I20,◆入力◆④「1個放水」計算!$AL$37:$AX$37,◆入力◆④「1個放水」計算!$AL$40:$AX$40),IF(I19="SUS",LOOKUP(I20,◆入力◆④「1個放水」計算!$AL$48:$AX$48,◆入力◆④「1個放水」計算!$AL$51:$AX$51),IF(OR(I19="PE",I19="PP"),LOOKUP(I20,◆入力◆④「1個放水」計算!$AL$59:$AX$59,◆入力◆④「1個放水」計算!$AL$63:$AX$63))))))))</f>
        <v>0</v>
      </c>
      <c r="R20" s="82">
        <f t="shared" si="0"/>
        <v>0</v>
      </c>
      <c r="S20" s="83">
        <f>R19+R20+R21</f>
        <v>0</v>
      </c>
      <c r="T20" s="84">
        <f>ROUNDUP(L20*S20,2)</f>
        <v>0</v>
      </c>
      <c r="U20" s="177"/>
      <c r="V20" s="174"/>
      <c r="W20" s="82">
        <f>IF($U20="Yスト",AC20,IF($I19="sgp-vb",AD20,IF($I19="sgp-pb",AE20,IF($I19="hivp",AF20,IF(OR($I19="sgp",$I19="フレキ"),AG20,IF($I19="sus",AH20,IF(OR($I19="PE",$I19="PP"),AI20,0)))))))</f>
        <v>0</v>
      </c>
      <c r="X20" s="82">
        <f t="shared" si="1"/>
        <v>0</v>
      </c>
      <c r="Y20" s="83">
        <f>SUM(X19:X21)</f>
        <v>0</v>
      </c>
      <c r="Z20" s="84">
        <f t="shared" ref="Z20" si="8">IF(AND($U20="電動弁",$V20=1),LOOKUP($K20,$AL$77:$BQ$77,$AL$78:$BQ$78),IF(AND($U20="逆流防止装置E",$V20=1),LOOKUP($I20,$AN$106:$AR$106,$AN116:$AR116),IF(AND($U20="逆流防止装置K",$V20=1),LOOKUP($I20,$AN$106:$AR$106,$AN117:$AR117),IF(AND($U20="逆流防止装置T",$V20=1),LOOKUP($I20,$AN$106:$AR$106,$AN118:$AR118),0))))</f>
        <v>0</v>
      </c>
      <c r="AA20" s="40"/>
      <c r="AB20" s="84">
        <f>N20+T20+Z19+Z20+Z21</f>
        <v>0</v>
      </c>
      <c r="AC20" s="89">
        <f>IF(U20="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20" s="90">
        <f>IF($U20="仕切弁",LOOKUP($I20,◆入力◆④「1個放水」計算!$AL$4:$AX$4,◆入力◆④「1個放水」計算!$AL$9:$AX$9),IF($U20="逆止弁",LOOKUP($I20,◆入力◆④「1個放水」計算!$AL$4:$AX$4,◆入力◆④「1個放水」計算!$AL$10:$AX$10),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E20" s="90">
        <f>IF($U20="仕切弁",LOOKUP($I20,◆入力◆④「1個放水」計算!$AL$15:$AX$15,◆入力◆④「1個放水」計算!$AL$20:$AX$20),IF($U20="逆止弁",LOOKUP($I20,◆入力◆④「1個放水」計算!$AL$15:$AX$15,◆入力◆④「1個放水」計算!$AL$21:$AX$21),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F20" s="90">
        <f>IF($U20="仕切弁",LOOKUP($I20,◆入力◆④「1個放水」計算!$AL$26:$AX$26,◆入力◆④「1個放水」計算!$AL$31:$AX$31),IF($U20="逆止弁",LOOKUP($I20,◆入力◆④「1個放水」計算!$AL$26:$AX$26,◆入力◆④「1個放水」計算!$AL$32:$AX$32),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G20" s="90">
        <f>IF($U20="仕切弁",LOOKUP($I20,◆入力◆④「1個放水」計算!$AL$37:$AX$37,◆入力◆④「1個放水」計算!$AL$42:$AX$42),IF($U20="逆止弁",LOOKUP($I20,◆入力◆④「1個放水」計算!$AL$37:$AX$37,◆入力◆④「1個放水」計算!$AL$43:$AX$43),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H20" s="90">
        <f>IF($U20="仕切弁",LOOKUP($I20,◆入力◆④「1個放水」計算!$AL$48:$AX$48,◆入力◆④「1個放水」計算!$AL$53:$AX$53),IF($U20="逆止弁",LOOKUP($I20,◆入力◆④「1個放水」計算!$AL$48:$AX$48,◆入力◆④「1個放水」計算!$AL$54:$AX$54),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I20" s="90">
        <f>IF($U20="仕切弁",LOOKUP($I20,◆入力◆④「1個放水」計算!$AL$59:$AX$59,◆入力◆④「1個放水」計算!$AL$65:$AX$65),IF($U20="逆止弁",LOOKUP($I20,◆入力◆④「1個放水」計算!$AL$59:$AX$59,◆入力◆④「1個放水」計算!$AL$66:$AX$66),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J20" s="115"/>
      <c r="AK20" s="57" t="s">
        <v>6</v>
      </c>
      <c r="AL20" s="63">
        <v>7.7</v>
      </c>
      <c r="AM20" s="63">
        <v>4.0999999999999996</v>
      </c>
      <c r="AN20" s="63">
        <v>2.7</v>
      </c>
      <c r="AO20" s="63">
        <v>1.8</v>
      </c>
      <c r="AP20" s="63">
        <v>2.2999999999999998</v>
      </c>
      <c r="AQ20" s="63">
        <v>2.4</v>
      </c>
      <c r="AR20" s="103"/>
      <c r="AS20" s="103"/>
      <c r="AT20" s="103"/>
      <c r="AU20" s="103"/>
      <c r="AV20" s="102"/>
      <c r="AW20" s="102"/>
      <c r="AX20" s="102"/>
      <c r="AY20" s="40"/>
      <c r="AZ20" s="40"/>
      <c r="BA20" s="40"/>
      <c r="BB20" s="180"/>
      <c r="BC20" s="40"/>
      <c r="BD20" s="40"/>
      <c r="BE20" s="40"/>
      <c r="BF20" s="40"/>
      <c r="BG20" s="40"/>
      <c r="BK20" s="40"/>
      <c r="BL20" s="40"/>
      <c r="BM20" s="40"/>
      <c r="BN20" s="40"/>
      <c r="BO20" s="40"/>
      <c r="BP20" s="40"/>
      <c r="BQ20" s="40"/>
      <c r="BR20" s="40"/>
      <c r="BS20" s="40"/>
      <c r="BT20" s="40"/>
    </row>
    <row r="21" spans="6:72" x14ac:dyDescent="0.15">
      <c r="F21" s="235"/>
      <c r="G21" s="40"/>
      <c r="H21" s="149"/>
      <c r="I21" s="91">
        <f>IF(I20="",0,IF(I19="SGP-VB",LOOKUP(I20,◆入力◆④「1個放水」計算!$AL$4:$AX$4,◆入力◆④「1個放水」計算!$AL$5:$AX$5),IF(I19="SGP-PB",LOOKUP(I20,◆入力◆④「1個放水」計算!$AL$15:$AX$15,◆入力◆④「1個放水」計算!$AL$16:$AX$16),IF(I19="HIVP",LOOKUP(I20,◆入力◆④「1個放水」計算!$AL$26:$AX$26,◆入力◆④「1個放水」計算!$AL$27:$AX$27),IF(OR(I19="SGP",I19="フレキ"),LOOKUP(I20,◆入力◆④「1個放水」計算!$AL$37:$AX$37,◆入力◆④「1個放水」計算!$AL$38:$AX$38),IF(I19="SUS",LOOKUP(I20,◆入力◆④「1個放水」計算!$AL$48:$AX$48,◆入力◆④「1個放水」計算!$AL$49:$AX$49),IF(OR(I19="PE",I19="PP"),LOOKUP(I20,◆入力◆④「1個放水」計算!$AL$59:$AX$59,◆入力◆④「1個放水」計算!$AL$60:$AX$60))))))))</f>
        <v>0</v>
      </c>
      <c r="J21" s="40"/>
      <c r="K21" s="150"/>
      <c r="L21" s="98"/>
      <c r="M21" s="99"/>
      <c r="N21" s="93"/>
      <c r="O21" s="87" t="str">
        <f>IF(I20="","","Ｔ分")</f>
        <v/>
      </c>
      <c r="P21" s="175"/>
      <c r="Q21" s="88">
        <f>IF(I20=0,0,IF(I19="SGP-VB",LOOKUP(I20,◆入力◆④「1個放水」計算!$AL$4:$AX$4,◆入力◆④「1個放水」計算!$AL$8:$AX$8),IF(I19="SGP-PB",LOOKUP(I20,◆入力◆④「1個放水」計算!$AL$15:$AX$15,◆入力◆④「1個放水」計算!$AL$19:$AX$19),IF(I19="HIVP",LOOKUP(I20,◆入力◆④「1個放水」計算!$AL$26:$AX$26,◆入力◆④「1個放水」計算!$AL$30:$AX$30),IF(OR(I19="SGP",I19="フレキ"),LOOKUP(I20,◆入力◆④「1個放水」計算!$AL$37:$AX$37,◆入力◆④「1個放水」計算!$AL$41:$AX$41),IF(I19="SUS",LOOKUP(I20,◆入力◆④「1個放水」計算!$AL$48:$AX$48,◆入力◆④「1個放水」計算!$AL$52:$AX$52),IF(OR(I19="PE",I19="PP"),LOOKUP(I20,◆入力◆④「1個放水」計算!$AL$59:$AX$59,◆入力◆④「1個放水」計算!$AL$64:$AX$64))))))))</f>
        <v>0</v>
      </c>
      <c r="R21" s="100">
        <f t="shared" si="0"/>
        <v>0</v>
      </c>
      <c r="S21" s="101"/>
      <c r="T21" s="92"/>
      <c r="U21" s="178"/>
      <c r="V21" s="175"/>
      <c r="W21" s="100">
        <f>IF($U21="Yスト",AC21,IF($I19="sgp-vb",AD21,IF($I19="sgp-pb",AE21,IF($I19="hivp",AF21,IF(OR($I19="sgp",$I19="フレキ"),AG21,IF($I19="sus",AH21,IF(OR($I19="PE",$I19="PP"),AI21,0)))))))</f>
        <v>0</v>
      </c>
      <c r="X21" s="100">
        <f t="shared" si="1"/>
        <v>0</v>
      </c>
      <c r="Y21" s="101"/>
      <c r="Z21" s="92">
        <f t="shared" ref="Z21" si="9">ROUNDUP(L20*Y20,2)</f>
        <v>0</v>
      </c>
      <c r="AA21" s="40"/>
      <c r="AB21" s="76"/>
      <c r="AC21" s="90">
        <f>IF(U21="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21" s="90">
        <f>IF($U21="仕切弁",LOOKUP($I20,◆入力◆④「1個放水」計算!$AL$4:$AX$4,◆入力◆④「1個放水」計算!$AL$9:$AX$9),IF($U21="逆止弁",LOOKUP($I20,◆入力◆④「1個放水」計算!$AL$4:$AX$4,◆入力◆④「1個放水」計算!$AL$10:$AX$10),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E21" s="90">
        <f>IF($U21="仕切弁",LOOKUP($I20,◆入力◆④「1個放水」計算!$AL$15:$AX$15,◆入力◆④「1個放水」計算!$AL$20:$AX$20),IF($U21="逆止弁",LOOKUP($I20,◆入力◆④「1個放水」計算!$AL$15:$AX$15,◆入力◆④「1個放水」計算!$AL$21:$AX$21),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F21" s="90">
        <f>IF($U21="仕切弁",LOOKUP($I20,◆入力◆④「1個放水」計算!$AL$26:$AX$26,◆入力◆④「1個放水」計算!$AL$31:$AX$31),IF($U21="逆止弁",LOOKUP($I20,◆入力◆④「1個放水」計算!$AL$26:$AX$26,◆入力◆④「1個放水」計算!$AL$32:$AX$32),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G21" s="90">
        <f>IF($U21="仕切弁",LOOKUP($I20,◆入力◆④「1個放水」計算!$AL$37:$AX$37,◆入力◆④「1個放水」計算!$AL$42:$AX$42),IF($U21="逆止弁",LOOKUP($I20,◆入力◆④「1個放水」計算!$AL$37:$AX$37,◆入力◆④「1個放水」計算!$AL$43:$AX$43),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H21" s="90">
        <f>IF($U21="仕切弁",LOOKUP($I20,◆入力◆④「1個放水」計算!$AL$48:$AX$48,◆入力◆④「1個放水」計算!$AL$53:$AX$53),IF($U21="逆止弁",LOOKUP($I20,◆入力◆④「1個放水」計算!$AL$48:$AX$48,◆入力◆④「1個放水」計算!$AL$54:$AX$54),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I21" s="90">
        <f>IF($U21="仕切弁",LOOKUP($I20,◆入力◆④「1個放水」計算!$AL$59:$AX$59,◆入力◆④「1個放水」計算!$AL$65:$AX$65),IF($U21="逆止弁",LOOKUP($I20,◆入力◆④「1個放水」計算!$AL$59:$AX$59,◆入力◆④「1個放水」計算!$AL$66:$AX$66),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J21" s="182"/>
      <c r="AK21" s="57" t="s">
        <v>41</v>
      </c>
      <c r="AL21" s="63">
        <v>12</v>
      </c>
      <c r="AM21" s="63">
        <v>4.8</v>
      </c>
      <c r="AN21" s="63">
        <v>4.5</v>
      </c>
      <c r="AO21" s="63">
        <v>4.5</v>
      </c>
      <c r="AP21" s="63">
        <v>3.5</v>
      </c>
      <c r="AQ21" s="63">
        <v>4.5999999999999996</v>
      </c>
      <c r="AR21" s="103"/>
      <c r="AS21" s="103"/>
      <c r="AT21" s="103"/>
      <c r="AU21" s="103"/>
      <c r="AV21" s="102"/>
      <c r="AW21" s="102"/>
      <c r="AX21" s="102"/>
      <c r="AY21" s="40"/>
      <c r="AZ21" s="40"/>
      <c r="BA21" s="40"/>
      <c r="BB21" s="180"/>
      <c r="BC21" s="40"/>
      <c r="BD21" s="40"/>
      <c r="BE21" s="40"/>
      <c r="BF21" s="40"/>
      <c r="BG21" s="40"/>
      <c r="BK21" s="40"/>
      <c r="BL21" s="40"/>
      <c r="BM21" s="40"/>
      <c r="BN21" s="40"/>
      <c r="BO21" s="40"/>
      <c r="BP21" s="40"/>
      <c r="BQ21" s="40"/>
      <c r="BR21" s="40"/>
      <c r="BS21" s="40"/>
      <c r="BT21" s="40"/>
    </row>
    <row r="22" spans="6:72" x14ac:dyDescent="0.15">
      <c r="F22" s="235" t="s">
        <v>25</v>
      </c>
      <c r="G22" s="40"/>
      <c r="H22" s="168"/>
      <c r="I22" s="189" t="str">
        <f>IF(H22="","",◆入力◆①配管容量!$M$3)</f>
        <v/>
      </c>
      <c r="J22" s="40"/>
      <c r="K22" s="134"/>
      <c r="L22" s="74"/>
      <c r="M22" s="75"/>
      <c r="N22" s="76"/>
      <c r="O22" s="77" t="str">
        <f>IF(I23="","","E９０°")</f>
        <v/>
      </c>
      <c r="P22" s="173"/>
      <c r="Q22" s="78">
        <f>IF(I23=0,0,IF(I22="SGP-VB",LOOKUP(I23,◆入力◆④「1個放水」計算!$AL$4:$AX$4,◆入力◆④「1個放水」計算!$AL$6:$AX$6),IF(I22="SGP-PB",LOOKUP(I23,◆入力◆④「1個放水」計算!$AL$15:$AX$15,◆入力◆④「1個放水」計算!$AL$17:$AX$17),IF(I22="HIVP",LOOKUP(I23,◆入力◆④「1個放水」計算!$AL$26:$AX$26,◆入力◆④「1個放水」計算!$AL$28:$AX$28),IF(OR(I22="SGP",I22="フレキ"),LOOKUP(I23,◆入力◆④「1個放水」計算!$AL$37:$AX$37,◆入力◆④「1個放水」計算!$AL$39:$AX$39),IF(I22="SUS",LOOKUP(I23,◆入力◆④「1個放水」計算!$AL$48:$AX$48,◆入力◆④「1個放水」計算!$AL$50:$AX$50),IF(OR(I22="PE",I22="PP"),LOOKUP(I23,◆入力◆④「1個放水」計算!$AL$59:$AX$59,◆入力◆④「1個放水」計算!$AL$61:$AX$61))))))))</f>
        <v>0</v>
      </c>
      <c r="R22" s="79">
        <f t="shared" si="0"/>
        <v>0</v>
      </c>
      <c r="S22" s="80"/>
      <c r="T22" s="81">
        <v>0</v>
      </c>
      <c r="U22" s="176"/>
      <c r="V22" s="174"/>
      <c r="W22" s="82">
        <f>IF($U22="Yスト",AC22,IF($I22="sgp-vb",AD22,IF($I22="sgp-pb",AE22,IF($I22="hivp",AF22,IF(OR($I22="sgp",$I22="フレキ"),AG22,IF($I22="sus",AH22,IF(OR($I22="PE",$I22="PP"),AI22,0)))))))</f>
        <v>0</v>
      </c>
      <c r="X22" s="82">
        <f t="shared" si="1"/>
        <v>0</v>
      </c>
      <c r="Y22" s="83"/>
      <c r="Z22" s="84">
        <f t="shared" ref="Z22" si="10">IF(AND($U22="電動弁",$V22=1),LOOKUP($K23,$AL$77:$BQ$77,$AL$78:$BQ$78),IF(AND($U22="逆流防止装置E",$V22=1),LOOKUP($I23,$AN$106:$AR$106,$AN119:$AR119),IF(AND($U22="逆流防止装置K",$V22=1),LOOKUP($I23,$AN$106:$AR$106,$AN120:$AR120),IF(AND($U22="逆流防止装置T",$V22=1),LOOKUP($I23,$AN$106:$AR$106,$AN121:$AR121),0))))</f>
        <v>0</v>
      </c>
      <c r="AA22" s="40"/>
      <c r="AB22" s="85"/>
      <c r="AC22" s="86">
        <f>IF(U22="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2" s="86">
        <f>IF($U22="仕切弁",LOOKUP($I23,◆入力◆④「1個放水」計算!$AL$4:$AX$4,◆入力◆④「1個放水」計算!$AL$9:$AX$9),IF($U22="逆止弁",LOOKUP($I23,◆入力◆④「1個放水」計算!$AL$4:$AX$4,◆入力◆④「1個放水」計算!$AL$10:$AX$10),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E22" s="86">
        <f>IF($U22="仕切弁",LOOKUP($I23,◆入力◆④「1個放水」計算!$AL$15:$AX$15,◆入力◆④「1個放水」計算!$AL$20:$AX$20),IF($U22="逆止弁",LOOKUP($I23,◆入力◆④「1個放水」計算!$AL$15:$AX$15,◆入力◆④「1個放水」計算!$AL$21:$AX$21),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F22" s="86">
        <f>IF($U22="仕切弁",LOOKUP($I23,◆入力◆④「1個放水」計算!$AL$26:$AX$26,◆入力◆④「1個放水」計算!$AL$31:$AX$31),IF($U22="逆止弁",LOOKUP($I23,◆入力◆④「1個放水」計算!$AL$26:$AX$26,◆入力◆④「1個放水」計算!$AL$32:$AX$32),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G22" s="86">
        <f>IF($U22="仕切弁",LOOKUP($I23,◆入力◆④「1個放水」計算!$AL$37:$AX$37,◆入力◆④「1個放水」計算!$AL$42:$AX$42),IF($U22="逆止弁",LOOKUP($I23,◆入力◆④「1個放水」計算!$AL$37:$AX$37,◆入力◆④「1個放水」計算!$AL$43:$AX$43),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H22" s="86">
        <f>IF($U22="仕切弁",LOOKUP($I23,◆入力◆④「1個放水」計算!$AL$48:$AX$48,◆入力◆④「1個放水」計算!$AL$53:$AX$53),IF($U22="逆止弁",LOOKUP($I23,◆入力◆④「1個放水」計算!$AL$48:$AX$48,◆入力◆④「1個放水」計算!$AL$54:$AX$54),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I22" s="86">
        <f>IF($U22="仕切弁",LOOKUP($I23,◆入力◆④「1個放水」計算!$AL$59:$AX$59,◆入力◆④「1個放水」計算!$AL$65:$AX$65),IF($U22="逆止弁",LOOKUP($I23,◆入力◆④「1個放水」計算!$AL$59:$AX$59,◆入力◆④「1個放水」計算!$AL$66:$AX$66),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J22" s="182"/>
      <c r="AK22" s="57" t="s">
        <v>42</v>
      </c>
      <c r="AL22" s="63">
        <v>7.28</v>
      </c>
      <c r="AM22" s="63">
        <v>7.66</v>
      </c>
      <c r="AN22" s="63">
        <v>9.0500000000000007</v>
      </c>
      <c r="AO22" s="63">
        <v>11.73</v>
      </c>
      <c r="AP22" s="63">
        <v>10.86</v>
      </c>
      <c r="AQ22" s="63">
        <v>12.14</v>
      </c>
      <c r="AR22" s="103"/>
      <c r="AS22" s="103"/>
      <c r="AT22" s="103"/>
      <c r="AU22" s="103"/>
      <c r="AV22" s="102"/>
      <c r="AW22" s="102"/>
      <c r="AX22" s="102"/>
      <c r="AY22" s="40"/>
      <c r="AZ22" s="40"/>
      <c r="BA22" s="40"/>
      <c r="BB22" s="180"/>
      <c r="BC22" s="40"/>
      <c r="BD22" s="40"/>
      <c r="BE22" s="40"/>
      <c r="BF22" s="40"/>
      <c r="BG22" s="40"/>
      <c r="BK22" s="40"/>
      <c r="BL22" s="40"/>
      <c r="BM22" s="40"/>
      <c r="BN22" s="40"/>
      <c r="BO22" s="40"/>
      <c r="BP22" s="40"/>
      <c r="BQ22" s="40"/>
      <c r="BR22" s="40"/>
      <c r="BS22" s="40"/>
      <c r="BT22" s="40"/>
    </row>
    <row r="23" spans="6:72" x14ac:dyDescent="0.15">
      <c r="F23" s="235"/>
      <c r="G23" s="40"/>
      <c r="H23" s="186">
        <f>IF(H22=5,"⑤－⑥",IF(H22=4,"④－⑤",0))</f>
        <v>0</v>
      </c>
      <c r="I23" s="170"/>
      <c r="J23" s="40"/>
      <c r="K23" s="134" t="str">
        <f>IF(I23="","",K20)</f>
        <v/>
      </c>
      <c r="L23" s="74">
        <f>IF(I23="",0,IF(I23&gt;=65,K23^1.85*0.012/I24^4.87,ROUNDUP((0.0126+(0.01739-(0.1087*I24/100))/SQRT(4*K23/(60000*PI()*(I24/100)^2)))*(1/(I24/100))*((4*K23/(60000*PI()*(I24/100)^2))^2/(2*9.8)),4)))</f>
        <v>0</v>
      </c>
      <c r="M23" s="172"/>
      <c r="N23" s="84">
        <f>ROUNDUP(L23*M23,2)</f>
        <v>0</v>
      </c>
      <c r="O23" s="87" t="str">
        <f>IF(I23="","","Ｔ直")</f>
        <v/>
      </c>
      <c r="P23" s="174"/>
      <c r="Q23" s="88">
        <f>IF(I23=0,0,IF(I22="SGP-VB",LOOKUP(I23,◆入力◆④「1個放水」計算!$AL$4:$AX$4,◆入力◆④「1個放水」計算!$AL$7:$AX$7),IF(I22="SGP-PB",LOOKUP(I23,◆入力◆④「1個放水」計算!$AL$15:$AX$15,◆入力◆④「1個放水」計算!$AL$18:$AX$18),IF(I22="HIVP",LOOKUP(I23,◆入力◆④「1個放水」計算!$AL$26:$AX$26,◆入力◆④「1個放水」計算!$AL$29:$AX$29),IF(OR(I22="SGP",I22="フレキ"),LOOKUP(I23,◆入力◆④「1個放水」計算!$AL$37:$AX$37,◆入力◆④「1個放水」計算!$AL$40:$AX$40),IF(I22="SUS",LOOKUP(I23,◆入力◆④「1個放水」計算!$AL$48:$AX$48,◆入力◆④「1個放水」計算!$AL$51:$AX$51),IF(OR(I22="PE",I22="PP"),LOOKUP(I23,◆入力◆④「1個放水」計算!$AL$59:$AX$59,◆入力◆④「1個放水」計算!$AL$63:$AX$63))))))))</f>
        <v>0</v>
      </c>
      <c r="R23" s="82">
        <f t="shared" si="0"/>
        <v>0</v>
      </c>
      <c r="S23" s="83">
        <f>R22+R23+R24</f>
        <v>0</v>
      </c>
      <c r="T23" s="84">
        <f>ROUNDUP(L23*S23,2)</f>
        <v>0</v>
      </c>
      <c r="U23" s="177"/>
      <c r="V23" s="174"/>
      <c r="W23" s="82">
        <f>IF($U23="Yスト",AC23,IF($I22="sgp-vb",AD23,IF($I22="sgp-pb",AE23,IF($I22="hivp",AF23,IF(OR($I22="sgp",$I22="フレキ"),AG23,IF($I22="sus",AH23,IF(OR($I22="PE",$I22="PP"),AI23,0)))))))</f>
        <v>0</v>
      </c>
      <c r="X23" s="82">
        <f t="shared" si="1"/>
        <v>0</v>
      </c>
      <c r="Y23" s="83">
        <f>SUM(X22:X24)</f>
        <v>0</v>
      </c>
      <c r="Z23" s="84">
        <f t="shared" ref="Z23" si="11">IF(AND($U23="電動弁",$V23=1),LOOKUP($K23,$AL$77:$BQ$77,$AL$78:$BQ$78),IF(AND($U23="逆流防止装置E",$V23=1),LOOKUP($I23,$AN$106:$AR$106,$AN119:$AR119),IF(AND($U23="逆流防止装置K",$V23=1),LOOKUP($I23,$AN$106:$AR$106,$AN120:$AR120),IF(AND($U23="逆流防止装置T",$V23=1),LOOKUP($I23,$AN$106:$AR$106,$AN121:$AR121),0))))</f>
        <v>0</v>
      </c>
      <c r="AA23" s="40"/>
      <c r="AB23" s="84">
        <f>N23+T23+Z22+Z23+Z24</f>
        <v>0</v>
      </c>
      <c r="AC23" s="89">
        <f>IF(U23="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3" s="90">
        <f>IF($U23="仕切弁",LOOKUP($I23,◆入力◆④「1個放水」計算!$AL$4:$AX$4,◆入力◆④「1個放水」計算!$AL$9:$AX$9),IF($U23="逆止弁",LOOKUP($I23,◆入力◆④「1個放水」計算!$AL$4:$AX$4,◆入力◆④「1個放水」計算!$AL$10:$AX$10),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E23" s="90">
        <f>IF($U23="仕切弁",LOOKUP($I23,◆入力◆④「1個放水」計算!$AL$15:$AX$15,◆入力◆④「1個放水」計算!$AL$20:$AX$20),IF($U23="逆止弁",LOOKUP($I23,◆入力◆④「1個放水」計算!$AL$15:$AX$15,◆入力◆④「1個放水」計算!$AL$21:$AX$21),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F23" s="90">
        <f>IF($U23="仕切弁",LOOKUP($I23,◆入力◆④「1個放水」計算!$AL$26:$AX$26,◆入力◆④「1個放水」計算!$AL$31:$AX$31),IF($U23="逆止弁",LOOKUP($I23,◆入力◆④「1個放水」計算!$AL$26:$AX$26,◆入力◆④「1個放水」計算!$AL$32:$AX$32),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G23" s="90">
        <f>IF($U23="仕切弁",LOOKUP($I23,◆入力◆④「1個放水」計算!$AL$37:$AX$37,◆入力◆④「1個放水」計算!$AL$42:$AX$42),IF($U23="逆止弁",LOOKUP($I23,◆入力◆④「1個放水」計算!$AL$37:$AX$37,◆入力◆④「1個放水」計算!$AL$43:$AX$43),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H23" s="90">
        <f>IF($U23="仕切弁",LOOKUP($I23,◆入力◆④「1個放水」計算!$AL$48:$AX$48,◆入力◆④「1個放水」計算!$AL$53:$AX$53),IF($U23="逆止弁",LOOKUP($I23,◆入力◆④「1個放水」計算!$AL$48:$AX$48,◆入力◆④「1個放水」計算!$AL$54:$AX$54),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I23" s="90">
        <f>IF($U23="仕切弁",LOOKUP($I23,◆入力◆④「1個放水」計算!$AL$59:$AX$59,◆入力◆④「1個放水」計算!$AL$65:$AX$65),IF($U23="逆止弁",LOOKUP($I23,◆入力◆④「1個放水」計算!$AL$59:$AX$59,◆入力◆④「1個放水」計算!$AL$66:$AX$66),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J23" s="144"/>
      <c r="AV23" s="40"/>
      <c r="AW23" s="40"/>
      <c r="AX23" s="40"/>
      <c r="AY23" s="40"/>
      <c r="AZ23" s="40"/>
      <c r="BA23" s="40"/>
      <c r="BB23" s="180"/>
      <c r="BC23" s="40"/>
      <c r="BD23" s="40"/>
      <c r="BE23" s="40"/>
      <c r="BF23" s="40"/>
      <c r="BG23" s="40"/>
      <c r="BK23" s="40"/>
      <c r="BL23" s="40"/>
      <c r="BM23" s="40"/>
      <c r="BN23" s="40"/>
      <c r="BO23" s="40"/>
      <c r="BP23" s="40"/>
      <c r="BQ23" s="40"/>
      <c r="BR23" s="40"/>
      <c r="BS23" s="40"/>
      <c r="BT23" s="40"/>
    </row>
    <row r="24" spans="6:72" x14ac:dyDescent="0.15">
      <c r="F24" s="235"/>
      <c r="G24" s="40"/>
      <c r="H24" s="145"/>
      <c r="I24" s="91">
        <f>IF(I23="",0,IF(I22="SGP-VB",LOOKUP(I23,◆入力◆④「1個放水」計算!$AL$4:$AX$4,◆入力◆④「1個放水」計算!$AL$5:$AX$5),IF(I22="SGP-PB",LOOKUP(I23,◆入力◆④「1個放水」計算!$AL$15:$AX$15,◆入力◆④「1個放水」計算!$AL$16:$AX$16),IF(I22="HIVP",LOOKUP(I23,◆入力◆④「1個放水」計算!$AL$26:$AX$26,◆入力◆④「1個放水」計算!$AL$27:$AX$27),IF(OR(I22="SGP",I22="フレキ"),LOOKUP(I23,◆入力◆④「1個放水」計算!$AL$37:$AX$37,◆入力◆④「1個放水」計算!$AL$38:$AX$38),IF(I22="SUS",LOOKUP(I23,◆入力◆④「1個放水」計算!$AL$48:$AX$48,◆入力◆④「1個放水」計算!$AL$49:$AX$49),IF(OR(I22="PE",I22="PP"),LOOKUP(I23,◆入力◆④「1個放水」計算!$AL$59:$AX$59,◆入力◆④「1個放水」計算!$AL$60:$AX$60))))))))</f>
        <v>0</v>
      </c>
      <c r="J24" s="40"/>
      <c r="K24" s="134"/>
      <c r="L24" s="74"/>
      <c r="M24" s="75"/>
      <c r="N24" s="76"/>
      <c r="O24" s="87" t="str">
        <f>IF(I23="","","Ｔ分")</f>
        <v/>
      </c>
      <c r="P24" s="175"/>
      <c r="Q24" s="88">
        <f>IF(I23=0,0,IF(I22="SGP-VB",LOOKUP(I23,◆入力◆④「1個放水」計算!$AL$4:$AX$4,◆入力◆④「1個放水」計算!$AL$8:$AX$8),IF(I22="SGP-PB",LOOKUP(I23,◆入力◆④「1個放水」計算!$AL$15:$AX$15,◆入力◆④「1個放水」計算!$AL$19:$AX$19),IF(I22="HIVP",LOOKUP(I23,◆入力◆④「1個放水」計算!$AL$26:$AX$26,◆入力◆④「1個放水」計算!$AL$30:$AX$30),IF(OR(I22="SGP",I22="フレキ"),LOOKUP(I23,◆入力◆④「1個放水」計算!$AL$37:$AX$37,◆入力◆④「1個放水」計算!$AL$41:$AX$41),IF(I22="SUS",LOOKUP(I23,◆入力◆④「1個放水」計算!$AL$48:$AX$48,◆入力◆④「1個放水」計算!$AL$52:$AX$52),IF(OR(I22="PE",I22="PP"),LOOKUP(I23,◆入力◆④「1個放水」計算!$AL$59:$AX$59,◆入力◆④「1個放水」計算!$AL$64:$AX$64))))))))</f>
        <v>0</v>
      </c>
      <c r="R24" s="100">
        <f t="shared" si="0"/>
        <v>0</v>
      </c>
      <c r="S24" s="101"/>
      <c r="T24" s="92"/>
      <c r="U24" s="178"/>
      <c r="V24" s="174"/>
      <c r="W24" s="100">
        <f>IF($U24="Yスト",AC24,IF($I22="sgp-vb",AD24,IF($I22="sgp-pb",AE24,IF($I22="hivp",AF24,IF(OR($I22="sgp",$I22="フレキ"),AG24,IF($I22="sus",AH24,IF(OR($I22="PE",$I22="PP"),AI24,0)))))))</f>
        <v>0</v>
      </c>
      <c r="X24" s="82">
        <f t="shared" si="1"/>
        <v>0</v>
      </c>
      <c r="Y24" s="83"/>
      <c r="Z24" s="92">
        <f t="shared" ref="Z24" si="12">ROUNDUP(L23*Y23,2)</f>
        <v>0</v>
      </c>
      <c r="AA24" s="40"/>
      <c r="AB24" s="93"/>
      <c r="AC24" s="90">
        <f>IF(U24="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4" s="90">
        <f>IF($U24="仕切弁",LOOKUP($I23,◆入力◆④「1個放水」計算!$AL$4:$AX$4,◆入力◆④「1個放水」計算!$AL$9:$AX$9),IF($U24="逆止弁",LOOKUP($I23,◆入力◆④「1個放水」計算!$AL$4:$AX$4,◆入力◆④「1個放水」計算!$AL$10:$AX$10),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E24" s="90">
        <f>IF($U24="仕切弁",LOOKUP($I23,◆入力◆④「1個放水」計算!$AL$15:$AX$15,◆入力◆④「1個放水」計算!$AL$20:$AX$20),IF($U24="逆止弁",LOOKUP($I23,◆入力◆④「1個放水」計算!$AL$15:$AX$15,◆入力◆④「1個放水」計算!$AL$21:$AX$21),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F24" s="90">
        <f>IF($U24="仕切弁",LOOKUP($I23,◆入力◆④「1個放水」計算!$AL$26:$AX$26,◆入力◆④「1個放水」計算!$AL$31:$AX$31),IF($U24="逆止弁",LOOKUP($I23,◆入力◆④「1個放水」計算!$AL$26:$AX$26,◆入力◆④「1個放水」計算!$AL$32:$AX$32),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G24" s="90">
        <f>IF($U24="仕切弁",LOOKUP($I23,◆入力◆④「1個放水」計算!$AL$37:$AX$37,◆入力◆④「1個放水」計算!$AL$42:$AX$42),IF($U24="逆止弁",LOOKUP($I23,◆入力◆④「1個放水」計算!$AL$37:$AX$37,◆入力◆④「1個放水」計算!$AL$43:$AX$43),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H24" s="90">
        <f>IF($U24="仕切弁",LOOKUP($I23,◆入力◆④「1個放水」計算!$AL$48:$AX$48,◆入力◆④「1個放水」計算!$AL$53:$AX$53),IF($U24="逆止弁",LOOKUP($I23,◆入力◆④「1個放水」計算!$AL$48:$AX$48,◆入力◆④「1個放水」計算!$AL$54:$AX$54),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I24" s="90">
        <f>IF($U24="仕切弁",LOOKUP($I23,◆入力◆④「1個放水」計算!$AL$59:$AX$59,◆入力◆④「1個放水」計算!$AL$65:$AX$65),IF($U24="逆止弁",LOOKUP($I23,◆入力◆④「1個放水」計算!$AL$59:$AX$59,◆入力◆④「1個放水」計算!$AL$66:$AX$66),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J24" s="144"/>
      <c r="AV24" s="40"/>
      <c r="AW24" s="40"/>
      <c r="AX24" s="40"/>
      <c r="AY24" s="40"/>
      <c r="AZ24" s="40"/>
      <c r="BA24" s="40"/>
      <c r="BB24" s="180"/>
      <c r="BC24" s="40"/>
      <c r="BD24" s="40"/>
      <c r="BE24" s="40"/>
      <c r="BF24" s="40"/>
      <c r="BG24" s="40"/>
      <c r="BK24" s="40"/>
      <c r="BL24" s="40"/>
      <c r="BM24" s="40"/>
      <c r="BN24" s="40"/>
      <c r="BO24" s="40"/>
      <c r="BP24" s="40"/>
      <c r="BQ24" s="40"/>
      <c r="BR24" s="40"/>
      <c r="BS24" s="40"/>
      <c r="BT24" s="40"/>
    </row>
    <row r="25" spans="6:72" x14ac:dyDescent="0.15">
      <c r="F25" s="235" t="s">
        <v>26</v>
      </c>
      <c r="G25" s="40"/>
      <c r="H25" s="169"/>
      <c r="I25" s="189" t="str">
        <f>IF(H25="","",◆入力◆①配管容量!$M$3)</f>
        <v/>
      </c>
      <c r="J25" s="40"/>
      <c r="K25" s="148"/>
      <c r="L25" s="95"/>
      <c r="M25" s="96"/>
      <c r="N25" s="85"/>
      <c r="O25" s="77" t="str">
        <f>IF(I26="","","E９０°")</f>
        <v/>
      </c>
      <c r="P25" s="173"/>
      <c r="Q25" s="78">
        <f>IF(I26=0,0,IF(I25="SGP-VB",LOOKUP(I26,◆入力◆④「1個放水」計算!$AL$4:$AX$4,◆入力◆④「1個放水」計算!$AL$6:$AX$6),IF(I25="SGP-PB",LOOKUP(I26,◆入力◆④「1個放水」計算!$AL$15:$AX$15,◆入力◆④「1個放水」計算!$AL$17:$AX$17),IF(I25="HIVP",LOOKUP(I26,◆入力◆④「1個放水」計算!$AL$26:$AX$26,◆入力◆④「1個放水」計算!$AL$28:$AX$28),IF(OR(I25="SGP",I25="フレキ"),LOOKUP(I26,◆入力◆④「1個放水」計算!$AL$37:$AX$37,◆入力◆④「1個放水」計算!$AL$39:$AX$39),IF(I25="SUS",LOOKUP(I26,◆入力◆④「1個放水」計算!$AL$48:$AX$48,◆入力◆④「1個放水」計算!$AL$50:$AX$50),IF(OR(I25="PE",I25="PP"),LOOKUP(I26,◆入力◆④「1個放水」計算!$AL$59:$AX$59,◆入力◆④「1個放水」計算!$AL$61:$AX$61))))))))</f>
        <v>0</v>
      </c>
      <c r="R25" s="79">
        <f t="shared" si="0"/>
        <v>0</v>
      </c>
      <c r="S25" s="80"/>
      <c r="T25" s="81">
        <v>0</v>
      </c>
      <c r="U25" s="176"/>
      <c r="V25" s="173"/>
      <c r="W25" s="82">
        <f>IF($U25="Yスト",AC25,IF($I25="sgp-vb",AD25,IF($I25="sgp-pb",AE25,IF($I25="hivp",AF25,IF(OR($I25="sgp",$I25="フレキ"),AG25,IF($I25="sus",AH25,IF(OR($I25="PE",$I25="PP"),AI25,0)))))))</f>
        <v>0</v>
      </c>
      <c r="X25" s="79">
        <f t="shared" si="1"/>
        <v>0</v>
      </c>
      <c r="Y25" s="80"/>
      <c r="Z25" s="84">
        <f t="shared" ref="Z25" si="13">IF(AND($U25="電動弁",$V25=1),LOOKUP($K26,$AL$77:$BQ$77,$AL$78:$BQ$78),IF(AND($U25="逆流防止装置E",$V25=1),LOOKUP($I26,$AN$106:$AR$106,$AN122:$AR122),IF(AND($U25="逆流防止装置K",$V25=1),LOOKUP($I26,$AN$106:$AR$106,$AN123:$AR123),IF(AND($U25="逆流防止装置T",$V25=1),LOOKUP($I26,$AN$106:$AR$106,$AN124:$AR124),0))))</f>
        <v>0</v>
      </c>
      <c r="AA25" s="40"/>
      <c r="AB25" s="76"/>
      <c r="AC25" s="86">
        <f>IF(U25="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5" s="86">
        <f>IF($U25="仕切弁",LOOKUP($I26,◆入力◆④「1個放水」計算!$AL$4:$AX$4,◆入力◆④「1個放水」計算!$AL$9:$AX$9),IF($U25="逆止弁",LOOKUP($I26,◆入力◆④「1個放水」計算!$AL$4:$AX$4,◆入力◆④「1個放水」計算!$AL$10:$AX$10),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E25" s="86">
        <f>IF($U25="仕切弁",LOOKUP($I26,◆入力◆④「1個放水」計算!$AL$15:$AX$15,◆入力◆④「1個放水」計算!$AL$20:$AX$20),IF($U25="逆止弁",LOOKUP($I26,◆入力◆④「1個放水」計算!$AL$15:$AX$15,◆入力◆④「1個放水」計算!$AL$21:$AX$21),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F25" s="86">
        <f>IF($U25="仕切弁",LOOKUP($I26,◆入力◆④「1個放水」計算!$AL$26:$AX$26,◆入力◆④「1個放水」計算!$AL$31:$AX$31),IF($U25="逆止弁",LOOKUP($I26,◆入力◆④「1個放水」計算!$AL$26:$AX$26,◆入力◆④「1個放水」計算!$AL$32:$AX$32),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G25" s="86">
        <f>IF($U25="仕切弁",LOOKUP($I26,◆入力◆④「1個放水」計算!$AL$37:$AX$37,◆入力◆④「1個放水」計算!$AL$42:$AX$42),IF($U25="逆止弁",LOOKUP($I26,◆入力◆④「1個放水」計算!$AL$37:$AX$37,◆入力◆④「1個放水」計算!$AL$43:$AX$43),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H25" s="86">
        <f>IF($U25="仕切弁",LOOKUP($I26,◆入力◆④「1個放水」計算!$AL$48:$AX$48,◆入力◆④「1個放水」計算!$AL$53:$AX$53),IF($U25="逆止弁",LOOKUP($I26,◆入力◆④「1個放水」計算!$AL$48:$AX$48,◆入力◆④「1個放水」計算!$AL$54:$AX$54),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I25" s="86">
        <f>IF($U25="仕切弁",LOOKUP($I26,◆入力◆④「1個放水」計算!$AL$59:$AX$59,◆入力◆④「1個放水」計算!$AL$65:$AX$65),IF($U25="逆止弁",LOOKUP($I26,◆入力◆④「1個放水」計算!$AL$59:$AX$59,◆入力◆④「1個放水」計算!$AL$66:$AX$66),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J25" s="144"/>
      <c r="AK25" s="104" t="s">
        <v>62</v>
      </c>
      <c r="AM25" s="105"/>
      <c r="AO25" s="106" t="s">
        <v>58</v>
      </c>
      <c r="AY25" s="40"/>
      <c r="AZ25" s="40"/>
      <c r="BA25" s="40"/>
      <c r="BB25" s="180"/>
      <c r="BC25" s="40"/>
      <c r="BD25" s="40"/>
      <c r="BE25" s="40"/>
      <c r="BF25" s="40"/>
      <c r="BG25" s="40"/>
      <c r="BK25" s="40"/>
      <c r="BL25" s="40"/>
      <c r="BM25" s="40"/>
      <c r="BN25" s="40"/>
      <c r="BO25" s="40"/>
      <c r="BP25" s="40"/>
      <c r="BQ25" s="40"/>
      <c r="BR25" s="40"/>
      <c r="BS25" s="40"/>
      <c r="BT25" s="40"/>
    </row>
    <row r="26" spans="6:72" x14ac:dyDescent="0.15">
      <c r="F26" s="235"/>
      <c r="G26" s="40"/>
      <c r="H26" s="186">
        <f>IF(H25=6,"⑥－⑦",IF(H25=5,"⑤－⑥",0))</f>
        <v>0</v>
      </c>
      <c r="I26" s="170"/>
      <c r="J26" s="40"/>
      <c r="K26" s="134" t="str">
        <f>IF(I26="","",K23)</f>
        <v/>
      </c>
      <c r="L26" s="74">
        <f>IF(I26="",0,IF(I26&gt;=65,K26^1.85*0.012/I27^4.87,ROUNDUP((0.0126+(0.01739-(0.1087*I27/100))/SQRT(4*K26/(60000*PI()*(I27/100)^2)))*(1/(I27/100))*((4*K26/(60000*PI()*(I27/100)^2))^2/(2*9.8)),4)))</f>
        <v>0</v>
      </c>
      <c r="M26" s="172"/>
      <c r="N26" s="84">
        <f>ROUNDUP(L26*M26,2)</f>
        <v>0</v>
      </c>
      <c r="O26" s="87" t="str">
        <f>IF(I26="","","Ｔ直")</f>
        <v/>
      </c>
      <c r="P26" s="174"/>
      <c r="Q26" s="88">
        <f>IF(I26=0,0,IF(I25="SGP-VB",LOOKUP(I26,◆入力◆④「1個放水」計算!$AL$4:$AX$4,◆入力◆④「1個放水」計算!$AL$7:$AX$7),IF(I25="SGP-PB",LOOKUP(I26,◆入力◆④「1個放水」計算!$AL$15:$AX$15,◆入力◆④「1個放水」計算!$AL$18:$AX$18),IF(I25="HIVP",LOOKUP(I26,◆入力◆④「1個放水」計算!$AL$26:$AX$26,◆入力◆④「1個放水」計算!$AL$29:$AX$29),IF(OR(I25="SGP",I25="フレキ"),LOOKUP(I26,◆入力◆④「1個放水」計算!$AL$37:$AX$37,◆入力◆④「1個放水」計算!$AL$40:$AX$40),IF(I25="SUS",LOOKUP(I26,◆入力◆④「1個放水」計算!$AL$48:$AX$48,◆入力◆④「1個放水」計算!$AL$51:$AX$51),IF(OR(I25="PE",I25="PP"),LOOKUP(I26,◆入力◆④「1個放水」計算!$AL$59:$AX$59,◆入力◆④「1個放水」計算!$AL$63:$AX$63))))))))</f>
        <v>0</v>
      </c>
      <c r="R26" s="82">
        <f t="shared" si="0"/>
        <v>0</v>
      </c>
      <c r="S26" s="83">
        <f>R25+R26+R27</f>
        <v>0</v>
      </c>
      <c r="T26" s="84">
        <f>ROUNDUP(L26*S26,2)</f>
        <v>0</v>
      </c>
      <c r="U26" s="177"/>
      <c r="V26" s="174"/>
      <c r="W26" s="82">
        <f>IF($U26="Yスト",AC26,IF($I25="sgp-vb",AD26,IF($I25="sgp-pb",AE26,IF($I25="hivp",AF26,IF(OR($I25="sgp",$I25="フレキ"),AG26,IF($I25="sus",AH26,IF(OR($I25="PE",$I25="PP"),AI26,0)))))))</f>
        <v>0</v>
      </c>
      <c r="X26" s="82">
        <f t="shared" si="1"/>
        <v>0</v>
      </c>
      <c r="Y26" s="83">
        <f>SUM(X25:X27)</f>
        <v>0</v>
      </c>
      <c r="Z26" s="84">
        <f t="shared" ref="Z26" si="14">IF(AND($U26="電動弁",$V26=1),LOOKUP($K26,$AL$77:$BQ$77,$AL$78:$BQ$78),IF(AND($U26="逆流防止装置E",$V26=1),LOOKUP($I26,$AN$106:$AR$106,$AN122:$AR122),IF(AND($U26="逆流防止装置K",$V26=1),LOOKUP($I26,$AN$106:$AR$106,$AN123:$AR123),IF(AND($U26="逆流防止装置T",$V26=1),LOOKUP($I26,$AN$106:$AR$106,$AN124:$AR124),0))))</f>
        <v>0</v>
      </c>
      <c r="AA26" s="40"/>
      <c r="AB26" s="84">
        <f>N26+T26+Z25+Z26+Z27</f>
        <v>0</v>
      </c>
      <c r="AC26" s="89">
        <f>IF(U26="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6" s="90">
        <f>IF($U26="仕切弁",LOOKUP($I26,◆入力◆④「1個放水」計算!$AL$4:$AX$4,◆入力◆④「1個放水」計算!$AL$9:$AX$9),IF($U26="逆止弁",LOOKUP($I26,◆入力◆④「1個放水」計算!$AL$4:$AX$4,◆入力◆④「1個放水」計算!$AL$10:$AX$10),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E26" s="90">
        <f>IF($U26="仕切弁",LOOKUP($I26,◆入力◆④「1個放水」計算!$AL$15:$AX$15,◆入力◆④「1個放水」計算!$AL$20:$AX$20),IF($U26="逆止弁",LOOKUP($I26,◆入力◆④「1個放水」計算!$AL$15:$AX$15,◆入力◆④「1個放水」計算!$AL$21:$AX$21),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F26" s="90">
        <f>IF($U26="仕切弁",LOOKUP($I26,◆入力◆④「1個放水」計算!$AL$26:$AX$26,◆入力◆④「1個放水」計算!$AL$31:$AX$31),IF($U26="逆止弁",LOOKUP($I26,◆入力◆④「1個放水」計算!$AL$26:$AX$26,◆入力◆④「1個放水」計算!$AL$32:$AX$32),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G26" s="90">
        <f>IF($U26="仕切弁",LOOKUP($I26,◆入力◆④「1個放水」計算!$AL$37:$AX$37,◆入力◆④「1個放水」計算!$AL$42:$AX$42),IF($U26="逆止弁",LOOKUP($I26,◆入力◆④「1個放水」計算!$AL$37:$AX$37,◆入力◆④「1個放水」計算!$AL$43:$AX$43),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H26" s="90">
        <f>IF($U26="仕切弁",LOOKUP($I26,◆入力◆④「1個放水」計算!$AL$48:$AX$48,◆入力◆④「1個放水」計算!$AL$53:$AX$53),IF($U26="逆止弁",LOOKUP($I26,◆入力◆④「1個放水」計算!$AL$48:$AX$48,◆入力◆④「1個放水」計算!$AL$54:$AX$54),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I26" s="90">
        <f>IF($U26="仕切弁",LOOKUP($I26,◆入力◆④「1個放水」計算!$AL$59:$AX$59,◆入力◆④「1個放水」計算!$AL$65:$AX$65),IF($U26="逆止弁",LOOKUP($I26,◆入力◆④「1個放水」計算!$AL$59:$AX$59,◆入力◆④「1個放水」計算!$AL$66:$AX$66),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J26" s="183"/>
      <c r="AK26" s="57" t="s">
        <v>75</v>
      </c>
      <c r="AL26" s="58">
        <v>13</v>
      </c>
      <c r="AM26" s="58">
        <v>16</v>
      </c>
      <c r="AN26" s="58">
        <v>20</v>
      </c>
      <c r="AO26" s="58">
        <v>25</v>
      </c>
      <c r="AP26" s="58">
        <v>30</v>
      </c>
      <c r="AQ26" s="58">
        <v>40</v>
      </c>
      <c r="AR26" s="58">
        <v>50</v>
      </c>
      <c r="AS26" s="58">
        <v>65</v>
      </c>
      <c r="AT26" s="58">
        <v>75</v>
      </c>
      <c r="AU26" s="58">
        <v>100</v>
      </c>
      <c r="AV26" s="58">
        <v>125</v>
      </c>
      <c r="AW26" s="58"/>
      <c r="AX26" s="58"/>
      <c r="AY26" s="40"/>
      <c r="AZ26" s="40"/>
      <c r="BA26" s="40"/>
      <c r="BB26" s="180"/>
      <c r="BC26" s="40"/>
      <c r="BD26" s="40"/>
      <c r="BE26" s="40"/>
      <c r="BF26" s="40"/>
      <c r="BG26" s="40"/>
      <c r="BK26" s="40"/>
      <c r="BL26" s="40"/>
      <c r="BM26" s="40"/>
      <c r="BN26" s="40"/>
      <c r="BO26" s="40"/>
      <c r="BP26" s="40"/>
      <c r="BQ26" s="40"/>
      <c r="BR26" s="40"/>
      <c r="BS26" s="40"/>
      <c r="BT26" s="40"/>
    </row>
    <row r="27" spans="6:72" x14ac:dyDescent="0.15">
      <c r="F27" s="235"/>
      <c r="G27" s="40"/>
      <c r="H27" s="149"/>
      <c r="I27" s="91">
        <f>IF(I26="",0,IF(I25="SGP-VB",LOOKUP(I26,◆入力◆④「1個放水」計算!$AL$4:$AX$4,◆入力◆④「1個放水」計算!$AL$5:$AX$5),IF(I25="SGP-PB",LOOKUP(I26,◆入力◆④「1個放水」計算!$AL$15:$AX$15,◆入力◆④「1個放水」計算!$AL$16:$AX$16),IF(I25="HIVP",LOOKUP(I26,◆入力◆④「1個放水」計算!$AL$26:$AX$26,◆入力◆④「1個放水」計算!$AL$27:$AX$27),IF(OR(I25="SGP",I25="フレキ"),LOOKUP(I26,◆入力◆④「1個放水」計算!$AL$37:$AX$37,◆入力◆④「1個放水」計算!$AL$38:$AX$38),IF(I25="SUS",LOOKUP(I26,◆入力◆④「1個放水」計算!$AL$48:$AX$48,◆入力◆④「1個放水」計算!$AL$49:$AX$49),IF(OR(I25="PE",I25="PP"),LOOKUP(I26,◆入力◆④「1個放水」計算!$AL$59:$AX$59,◆入力◆④「1個放水」計算!$AL$60:$AX$60))))))))</f>
        <v>0</v>
      </c>
      <c r="J27" s="40"/>
      <c r="K27" s="150"/>
      <c r="L27" s="98"/>
      <c r="M27" s="99"/>
      <c r="N27" s="93"/>
      <c r="O27" s="87" t="str">
        <f>IF(I26="","","Ｔ分")</f>
        <v/>
      </c>
      <c r="P27" s="175"/>
      <c r="Q27" s="88">
        <f>IF(I26=0,0,IF(I25="SGP-VB",LOOKUP(I26,◆入力◆④「1個放水」計算!$AL$4:$AX$4,◆入力◆④「1個放水」計算!$AL$8:$AX$8),IF(I25="SGP-PB",LOOKUP(I26,◆入力◆④「1個放水」計算!$AL$15:$AX$15,◆入力◆④「1個放水」計算!$AL$19:$AX$19),IF(I25="HIVP",LOOKUP(I26,◆入力◆④「1個放水」計算!$AL$26:$AX$26,◆入力◆④「1個放水」計算!$AL$30:$AX$30),IF(OR(I25="SGP",I25="フレキ"),LOOKUP(I26,◆入力◆④「1個放水」計算!$AL$37:$AX$37,◆入力◆④「1個放水」計算!$AL$41:$AX$41),IF(I25="SUS",LOOKUP(I26,◆入力◆④「1個放水」計算!$AL$48:$AX$48,◆入力◆④「1個放水」計算!$AL$52:$AX$52),IF(OR(I25="PE",I25="PP"),LOOKUP(I26,◆入力◆④「1個放水」計算!$AL$59:$AX$59,◆入力◆④「1個放水」計算!$AL$64:$AX$64))))))))</f>
        <v>0</v>
      </c>
      <c r="R27" s="100">
        <f t="shared" si="0"/>
        <v>0</v>
      </c>
      <c r="S27" s="101"/>
      <c r="T27" s="92"/>
      <c r="U27" s="178"/>
      <c r="V27" s="175"/>
      <c r="W27" s="100">
        <f>IF($U27="Yスト",AC27,IF($I25="sgp-vb",AD27,IF($I25="sgp-pb",AE27,IF($I25="hivp",AF27,IF(OR($I25="sgp",$I25="フレキ"),AG27,IF($I25="sus",AH27,IF(OR($I25="PE",$I25="PP"),AI27,0)))))))</f>
        <v>0</v>
      </c>
      <c r="X27" s="100">
        <f t="shared" si="1"/>
        <v>0</v>
      </c>
      <c r="Y27" s="101"/>
      <c r="Z27" s="92">
        <f t="shared" ref="Z27" si="15">ROUNDUP(L26*Y26,2)</f>
        <v>0</v>
      </c>
      <c r="AA27" s="40"/>
      <c r="AB27" s="76"/>
      <c r="AC27" s="90">
        <f>IF(U27="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7" s="90">
        <f>IF($U27="仕切弁",LOOKUP($I26,◆入力◆④「1個放水」計算!$AL$4:$AX$4,◆入力◆④「1個放水」計算!$AL$9:$AX$9),IF($U27="逆止弁",LOOKUP($I26,◆入力◆④「1個放水」計算!$AL$4:$AX$4,◆入力◆④「1個放水」計算!$AL$10:$AX$10),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E27" s="90">
        <f>IF($U27="仕切弁",LOOKUP($I26,◆入力◆④「1個放水」計算!$AL$15:$AX$15,◆入力◆④「1個放水」計算!$AL$20:$AX$20),IF($U27="逆止弁",LOOKUP($I26,◆入力◆④「1個放水」計算!$AL$15:$AX$15,◆入力◆④「1個放水」計算!$AL$21:$AX$21),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F27" s="90">
        <f>IF($U27="仕切弁",LOOKUP($I26,◆入力◆④「1個放水」計算!$AL$26:$AX$26,◆入力◆④「1個放水」計算!$AL$31:$AX$31),IF($U27="逆止弁",LOOKUP($I26,◆入力◆④「1個放水」計算!$AL$26:$AX$26,◆入力◆④「1個放水」計算!$AL$32:$AX$32),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G27" s="90">
        <f>IF($U27="仕切弁",LOOKUP($I26,◆入力◆④「1個放水」計算!$AL$37:$AX$37,◆入力◆④「1個放水」計算!$AL$42:$AX$42),IF($U27="逆止弁",LOOKUP($I26,◆入力◆④「1個放水」計算!$AL$37:$AX$37,◆入力◆④「1個放水」計算!$AL$43:$AX$43),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H27" s="90">
        <f>IF($U27="仕切弁",LOOKUP($I26,◆入力◆④「1個放水」計算!$AL$48:$AX$48,◆入力◆④「1個放水」計算!$AL$53:$AX$53),IF($U27="逆止弁",LOOKUP($I26,◆入力◆④「1個放水」計算!$AL$48:$AX$48,◆入力◆④「1個放水」計算!$AL$54:$AX$54),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I27" s="90">
        <f>IF($U27="仕切弁",LOOKUP($I26,◆入力◆④「1個放水」計算!$AL$59:$AX$59,◆入力◆④「1個放水」計算!$AL$65:$AX$65),IF($U27="逆止弁",LOOKUP($I26,◆入力◆④「1個放水」計算!$AL$59:$AX$59,◆入力◆④「1個放水」計算!$AL$66:$AX$66),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J27" s="144"/>
      <c r="AK27" s="57" t="s">
        <v>76</v>
      </c>
      <c r="AL27" s="63">
        <v>1.3</v>
      </c>
      <c r="AM27" s="63">
        <v>1.6</v>
      </c>
      <c r="AN27" s="63">
        <v>2</v>
      </c>
      <c r="AO27" s="63">
        <v>2.5</v>
      </c>
      <c r="AP27" s="63">
        <v>3.1</v>
      </c>
      <c r="AQ27" s="63">
        <v>4</v>
      </c>
      <c r="AR27" s="63">
        <v>5.0999999999999996</v>
      </c>
      <c r="AS27" s="63">
        <v>6.7</v>
      </c>
      <c r="AT27" s="63">
        <v>7.7</v>
      </c>
      <c r="AU27" s="63">
        <v>10</v>
      </c>
      <c r="AV27" s="63">
        <v>12.5</v>
      </c>
      <c r="AW27" s="103"/>
      <c r="AX27" s="103"/>
      <c r="AY27" s="40"/>
      <c r="AZ27" s="40"/>
      <c r="BA27" s="40"/>
      <c r="BB27" s="180"/>
      <c r="BC27" s="40"/>
      <c r="BD27" s="40"/>
      <c r="BE27" s="40"/>
      <c r="BF27" s="40"/>
      <c r="BG27" s="40"/>
      <c r="BK27" s="40"/>
      <c r="BL27" s="40"/>
      <c r="BM27" s="40"/>
      <c r="BN27" s="40"/>
      <c r="BO27" s="40"/>
      <c r="BP27" s="40"/>
      <c r="BQ27" s="40"/>
      <c r="BR27" s="40"/>
      <c r="BS27" s="40"/>
      <c r="BT27" s="40"/>
    </row>
    <row r="28" spans="6:72" x14ac:dyDescent="0.15">
      <c r="F28" s="235" t="s">
        <v>27</v>
      </c>
      <c r="G28" s="40"/>
      <c r="H28" s="168"/>
      <c r="I28" s="189" t="str">
        <f>IF(H28="","",◆入力◆①配管容量!$M$3)</f>
        <v/>
      </c>
      <c r="J28" s="40"/>
      <c r="K28" s="134"/>
      <c r="L28" s="74"/>
      <c r="M28" s="75"/>
      <c r="N28" s="76"/>
      <c r="O28" s="77" t="str">
        <f>IF(I29="","","E９０°")</f>
        <v/>
      </c>
      <c r="P28" s="173"/>
      <c r="Q28" s="78">
        <f>IF(I29=0,0,IF(I28="SGP-VB",LOOKUP(I29,◆入力◆④「1個放水」計算!$AL$4:$AX$4,◆入力◆④「1個放水」計算!$AL$6:$AX$6),IF(I28="SGP-PB",LOOKUP(I29,◆入力◆④「1個放水」計算!$AL$15:$AX$15,◆入力◆④「1個放水」計算!$AL$17:$AX$17),IF(I28="HIVP",LOOKUP(I29,◆入力◆④「1個放水」計算!$AL$26:$AX$26,◆入力◆④「1個放水」計算!$AL$28:$AX$28),IF(OR(I28="SGP",I28="フレキ"),LOOKUP(I29,◆入力◆④「1個放水」計算!$AL$37:$AX$37,◆入力◆④「1個放水」計算!$AL$39:$AX$39),IF(I28="SUS",LOOKUP(I29,◆入力◆④「1個放水」計算!$AL$48:$AX$48,◆入力◆④「1個放水」計算!$AL$50:$AX$50),IF(OR(I28="PE",I28="PP"),LOOKUP(I29,◆入力◆④「1個放水」計算!$AL$59:$AX$59,◆入力◆④「1個放水」計算!$AL$61:$AX$61))))))))</f>
        <v>0</v>
      </c>
      <c r="R28" s="79">
        <f t="shared" si="0"/>
        <v>0</v>
      </c>
      <c r="S28" s="80"/>
      <c r="T28" s="81">
        <v>0</v>
      </c>
      <c r="U28" s="176"/>
      <c r="V28" s="174"/>
      <c r="W28" s="82">
        <f>IF($U28="Yスト",AC28,IF($I28="sgp-vb",AD28,IF($I28="sgp-pb",AE28,IF($I28="hivp",AF28,IF(OR($I28="sgp",$I28="フレキ"),AG28,IF($I28="sus",AH28,IF(OR($I28="PE",$I28="PP"),AI28,0)))))))</f>
        <v>0</v>
      </c>
      <c r="X28" s="82">
        <f t="shared" si="1"/>
        <v>0</v>
      </c>
      <c r="Y28" s="83"/>
      <c r="Z28" s="84">
        <f t="shared" ref="Z28" si="16">IF(AND($U28="電動弁",$V28=1),LOOKUP($K29,$AL$77:$BQ$77,$AL$78:$BQ$78),IF(AND($U28="逆流防止装置E",$V28=1),LOOKUP($I29,$AN$106:$AR$106,$AN125:$AR125),IF(AND($U28="逆流防止装置K",$V28=1),LOOKUP($I29,$AN$106:$AR$106,$AN126:$AR126),IF(AND($U28="逆流防止装置T",$V28=1),LOOKUP($I29,$AN$106:$AR$106,$AN127:$AR127),0))))</f>
        <v>0</v>
      </c>
      <c r="AA28" s="40"/>
      <c r="AB28" s="85"/>
      <c r="AC28" s="86">
        <f>IF(U28="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28" s="86">
        <f>IF($U28="仕切弁",LOOKUP($I29,◆入力◆④「1個放水」計算!$AL$4:$AX$4,◆入力◆④「1個放水」計算!$AL$9:$AX$9),IF($U28="逆止弁",LOOKUP($I29,◆入力◆④「1個放水」計算!$AL$4:$AX$4,◆入力◆④「1個放水」計算!$AL$10:$AX$10),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E28" s="86">
        <f>IF($U28="仕切弁",LOOKUP($I29,◆入力◆④「1個放水」計算!$AL$15:$AX$15,◆入力◆④「1個放水」計算!$AL$20:$AX$20),IF($U28="逆止弁",LOOKUP($I29,◆入力◆④「1個放水」計算!$AL$15:$AX$15,◆入力◆④「1個放水」計算!$AL$21:$AX$21),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F28" s="86">
        <f>IF($U28="仕切弁",LOOKUP($I29,◆入力◆④「1個放水」計算!$AL$26:$AX$26,◆入力◆④「1個放水」計算!$AL$31:$AX$31),IF($U28="逆止弁",LOOKUP($I29,◆入力◆④「1個放水」計算!$AL$26:$AX$26,◆入力◆④「1個放水」計算!$AL$32:$AX$32),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G28" s="86">
        <f>IF($U28="仕切弁",LOOKUP($I29,◆入力◆④「1個放水」計算!$AL$37:$AX$37,◆入力◆④「1個放水」計算!$AL$42:$AX$42),IF($U28="逆止弁",LOOKUP($I29,◆入力◆④「1個放水」計算!$AL$37:$AX$37,◆入力◆④「1個放水」計算!$AL$43:$AX$43),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H28" s="86">
        <f>IF($U28="仕切弁",LOOKUP($I29,◆入力◆④「1個放水」計算!$AL$48:$AX$48,◆入力◆④「1個放水」計算!$AL$53:$AX$53),IF($U28="逆止弁",LOOKUP($I29,◆入力◆④「1個放水」計算!$AL$48:$AX$48,◆入力◆④「1個放水」計算!$AL$54:$AX$54),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I28" s="86">
        <f>IF($U28="仕切弁",LOOKUP($I29,◆入力◆④「1個放水」計算!$AL$59:$AX$59,◆入力◆④「1個放水」計算!$AL$65:$AX$65),IF($U28="逆止弁",LOOKUP($I29,◆入力◆④「1個放水」計算!$AL$59:$AX$59,◆入力◆④「1個放水」計算!$AL$66:$AX$66),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J28" s="144"/>
      <c r="AK28" s="57" t="s">
        <v>4</v>
      </c>
      <c r="AL28" s="63">
        <v>0.5</v>
      </c>
      <c r="AM28" s="63">
        <v>0.5</v>
      </c>
      <c r="AN28" s="63">
        <v>0.5</v>
      </c>
      <c r="AO28" s="63">
        <v>0.5</v>
      </c>
      <c r="AP28" s="63">
        <v>0.8</v>
      </c>
      <c r="AQ28" s="63">
        <v>0.8</v>
      </c>
      <c r="AR28" s="63">
        <v>1.2</v>
      </c>
      <c r="AS28" s="63">
        <v>1.5</v>
      </c>
      <c r="AT28" s="63">
        <v>1.5</v>
      </c>
      <c r="AU28" s="63">
        <v>2</v>
      </c>
      <c r="AV28" s="63">
        <v>3</v>
      </c>
      <c r="AW28" s="107"/>
      <c r="AX28" s="107"/>
      <c r="AY28" s="40"/>
      <c r="AZ28" s="40"/>
      <c r="BA28" s="40"/>
      <c r="BB28" s="180"/>
      <c r="BC28" s="40"/>
      <c r="BD28" s="40"/>
      <c r="BE28" s="40"/>
      <c r="BF28" s="40"/>
      <c r="BG28" s="40"/>
      <c r="BK28" s="40"/>
      <c r="BL28" s="40"/>
      <c r="BM28" s="40"/>
      <c r="BN28" s="40"/>
      <c r="BO28" s="40"/>
      <c r="BP28" s="40"/>
      <c r="BQ28" s="40"/>
      <c r="BR28" s="40"/>
      <c r="BS28" s="40"/>
      <c r="BT28" s="40"/>
    </row>
    <row r="29" spans="6:72" x14ac:dyDescent="0.15">
      <c r="F29" s="235"/>
      <c r="G29" s="40"/>
      <c r="H29" s="186">
        <f>IF(H28=7,"⑦－⑧",IF(H28=6,"⑥－⑦",0))</f>
        <v>0</v>
      </c>
      <c r="I29" s="170"/>
      <c r="J29" s="40"/>
      <c r="K29" s="134" t="str">
        <f>IF(I29="","",K26)</f>
        <v/>
      </c>
      <c r="L29" s="74">
        <f>IF(I29="",0,IF(I29&gt;=65,K29^1.85*0.012/I30^4.87,ROUNDUP((0.0126+(0.01739-(0.1087*I30/100))/SQRT(4*K29/(60000*PI()*(I30/100)^2)))*(1/(I30/100))*((4*K29/(60000*PI()*(I30/100)^2))^2/(2*9.8)),4)))</f>
        <v>0</v>
      </c>
      <c r="M29" s="172"/>
      <c r="N29" s="84">
        <f>ROUNDUP(L29*M29,2)</f>
        <v>0</v>
      </c>
      <c r="O29" s="87" t="str">
        <f>IF(I29="","","Ｔ直")</f>
        <v/>
      </c>
      <c r="P29" s="174"/>
      <c r="Q29" s="88">
        <f>IF(I29=0,0,IF(I28="SGP-VB",LOOKUP(I29,◆入力◆④「1個放水」計算!$AL$4:$AX$4,◆入力◆④「1個放水」計算!$AL$7:$AX$7),IF(I28="SGP-PB",LOOKUP(I29,◆入力◆④「1個放水」計算!$AL$15:$AX$15,◆入力◆④「1個放水」計算!$AL$18:$AX$18),IF(I28="HIVP",LOOKUP(I29,◆入力◆④「1個放水」計算!$AL$26:$AX$26,◆入力◆④「1個放水」計算!$AL$29:$AX$29),IF(OR(I28="SGP",I28="フレキ"),LOOKUP(I29,◆入力◆④「1個放水」計算!$AL$37:$AX$37,◆入力◆④「1個放水」計算!$AL$40:$AX$40),IF(I28="SUS",LOOKUP(I29,◆入力◆④「1個放水」計算!$AL$48:$AX$48,◆入力◆④「1個放水」計算!$AL$51:$AX$51),IF(OR(I28="PE",I28="PP"),LOOKUP(I29,◆入力◆④「1個放水」計算!$AL$59:$AX$59,◆入力◆④「1個放水」計算!$AL$63:$AX$63))))))))</f>
        <v>0</v>
      </c>
      <c r="R29" s="82">
        <f t="shared" si="0"/>
        <v>0</v>
      </c>
      <c r="S29" s="83">
        <f>R28+R29+R30</f>
        <v>0</v>
      </c>
      <c r="T29" s="84">
        <f>ROUNDUP(L29*S29,2)</f>
        <v>0</v>
      </c>
      <c r="U29" s="177"/>
      <c r="V29" s="174"/>
      <c r="W29" s="82">
        <f>IF($U29="Yスト",AC29,IF($I28="sgp-vb",AD29,IF($I28="sgp-pb",AE29,IF($I28="hivp",AF29,IF(OR($I28="sgp",$I28="フレキ"),AG29,IF($I28="sus",AH29,IF(OR($I28="PE",$I28="PP"),AI29,0)))))))</f>
        <v>0</v>
      </c>
      <c r="X29" s="82">
        <f t="shared" si="1"/>
        <v>0</v>
      </c>
      <c r="Y29" s="83">
        <f>SUM(X28:X30)</f>
        <v>0</v>
      </c>
      <c r="Z29" s="84">
        <f t="shared" ref="Z29" si="17">IF(AND($U29="電動弁",$V29=1),LOOKUP($K29,$AL$77:$BQ$77,$AL$78:$BQ$78),IF(AND($U29="逆流防止装置E",$V29=1),LOOKUP($I29,$AN$106:$AR$106,$AN125:$AR125),IF(AND($U29="逆流防止装置K",$V29=1),LOOKUP($I29,$AN$106:$AR$106,$AN126:$AR126),IF(AND($U29="逆流防止装置T",$V29=1),LOOKUP($I29,$AN$106:$AR$106,$AN127:$AR127),0))))</f>
        <v>0</v>
      </c>
      <c r="AA29" s="40"/>
      <c r="AB29" s="84">
        <f>N29+T29+Z28+Z29+Z30</f>
        <v>0</v>
      </c>
      <c r="AC29" s="89">
        <f>IF(U29="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29" s="90">
        <f>IF($U29="仕切弁",LOOKUP($I29,◆入力◆④「1個放水」計算!$AL$4:$AX$4,◆入力◆④「1個放水」計算!$AL$9:$AX$9),IF($U29="逆止弁",LOOKUP($I29,◆入力◆④「1個放水」計算!$AL$4:$AX$4,◆入力◆④「1個放水」計算!$AL$10:$AX$10),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E29" s="90">
        <f>IF($U29="仕切弁",LOOKUP($I29,◆入力◆④「1個放水」計算!$AL$15:$AX$15,◆入力◆④「1個放水」計算!$AL$20:$AX$20),IF($U29="逆止弁",LOOKUP($I29,◆入力◆④「1個放水」計算!$AL$15:$AX$15,◆入力◆④「1個放水」計算!$AL$21:$AX$21),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F29" s="90">
        <f>IF($U29="仕切弁",LOOKUP($I29,◆入力◆④「1個放水」計算!$AL$26:$AX$26,◆入力◆④「1個放水」計算!$AL$31:$AX$31),IF($U29="逆止弁",LOOKUP($I29,◆入力◆④「1個放水」計算!$AL$26:$AX$26,◆入力◆④「1個放水」計算!$AL$32:$AX$32),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G29" s="90">
        <f>IF($U29="仕切弁",LOOKUP($I29,◆入力◆④「1個放水」計算!$AL$37:$AX$37,◆入力◆④「1個放水」計算!$AL$42:$AX$42),IF($U29="逆止弁",LOOKUP($I29,◆入力◆④「1個放水」計算!$AL$37:$AX$37,◆入力◆④「1個放水」計算!$AL$43:$AX$43),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H29" s="90">
        <f>IF($U29="仕切弁",LOOKUP($I29,◆入力◆④「1個放水」計算!$AL$48:$AX$48,◆入力◆④「1個放水」計算!$AL$53:$AX$53),IF($U29="逆止弁",LOOKUP($I29,◆入力◆④「1個放水」計算!$AL$48:$AX$48,◆入力◆④「1個放水」計算!$AL$54:$AX$54),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I29" s="90">
        <f>IF($U29="仕切弁",LOOKUP($I29,◆入力◆④「1個放水」計算!$AL$59:$AX$59,◆入力◆④「1個放水」計算!$AL$65:$AX$65),IF($U29="逆止弁",LOOKUP($I29,◆入力◆④「1個放水」計算!$AL$59:$AX$59,◆入力◆④「1個放水」計算!$AL$66:$AX$66),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J29" s="144"/>
      <c r="AK29" s="57" t="s">
        <v>38</v>
      </c>
      <c r="AL29" s="63">
        <v>0</v>
      </c>
      <c r="AM29" s="63">
        <v>0</v>
      </c>
      <c r="AN29" s="63">
        <v>0</v>
      </c>
      <c r="AO29" s="63">
        <v>0</v>
      </c>
      <c r="AP29" s="63">
        <v>1</v>
      </c>
      <c r="AQ29" s="63">
        <v>1</v>
      </c>
      <c r="AR29" s="63">
        <v>1.5</v>
      </c>
      <c r="AS29" s="63">
        <v>2</v>
      </c>
      <c r="AT29" s="63">
        <v>2</v>
      </c>
      <c r="AU29" s="63">
        <v>3</v>
      </c>
      <c r="AV29" s="63">
        <v>5</v>
      </c>
      <c r="AW29" s="103"/>
      <c r="AX29" s="107"/>
      <c r="AY29" s="40"/>
      <c r="AZ29" s="40"/>
      <c r="BA29" s="40"/>
      <c r="BB29" s="180"/>
      <c r="BC29" s="40"/>
      <c r="BD29" s="40"/>
      <c r="BE29" s="40"/>
      <c r="BF29" s="40"/>
      <c r="BG29" s="40"/>
      <c r="BK29" s="40"/>
      <c r="BL29" s="40"/>
      <c r="BM29" s="40"/>
      <c r="BN29" s="40"/>
      <c r="BO29" s="40"/>
      <c r="BP29" s="40"/>
      <c r="BQ29" s="40"/>
      <c r="BR29" s="40"/>
      <c r="BS29" s="40"/>
      <c r="BT29" s="40"/>
    </row>
    <row r="30" spans="6:72" x14ac:dyDescent="0.15">
      <c r="F30" s="235"/>
      <c r="G30" s="40"/>
      <c r="H30" s="145"/>
      <c r="I30" s="91">
        <f>IF(I29="",0,IF(I28="SGP-VB",LOOKUP(I29,◆入力◆④「1個放水」計算!$AL$4:$AX$4,◆入力◆④「1個放水」計算!$AL$5:$AX$5),IF(I28="SGP-PB",LOOKUP(I29,◆入力◆④「1個放水」計算!$AL$15:$AX$15,◆入力◆④「1個放水」計算!$AL$16:$AX$16),IF(I28="HIVP",LOOKUP(I29,◆入力◆④「1個放水」計算!$AL$26:$AX$26,◆入力◆④「1個放水」計算!$AL$27:$AX$27),IF(OR(I28="SGP",I28="フレキ"),LOOKUP(I29,◆入力◆④「1個放水」計算!$AL$37:$AX$37,◆入力◆④「1個放水」計算!$AL$38:$AX$38),IF(I28="SUS",LOOKUP(I29,◆入力◆④「1個放水」計算!$AL$48:$AX$48,◆入力◆④「1個放水」計算!$AL$49:$AX$49),IF(OR(I28="PE",I28="PP"),LOOKUP(I29,◆入力◆④「1個放水」計算!$AL$59:$AX$59,◆入力◆④「1個放水」計算!$AL$60:$AX$60))))))))</f>
        <v>0</v>
      </c>
      <c r="J30" s="40"/>
      <c r="K30" s="134"/>
      <c r="L30" s="74"/>
      <c r="M30" s="75"/>
      <c r="N30" s="76"/>
      <c r="O30" s="87" t="str">
        <f>IF(I29="","","Ｔ分")</f>
        <v/>
      </c>
      <c r="P30" s="175"/>
      <c r="Q30" s="88">
        <f>IF(I29=0,0,IF(I28="SGP-VB",LOOKUP(I29,◆入力◆④「1個放水」計算!$AL$4:$AX$4,◆入力◆④「1個放水」計算!$AL$8:$AX$8),IF(I28="SGP-PB",LOOKUP(I29,◆入力◆④「1個放水」計算!$AL$15:$AX$15,◆入力◆④「1個放水」計算!$AL$19:$AX$19),IF(I28="HIVP",LOOKUP(I29,◆入力◆④「1個放水」計算!$AL$26:$AX$26,◆入力◆④「1個放水」計算!$AL$30:$AX$30),IF(OR(I28="SGP",I28="フレキ"),LOOKUP(I29,◆入力◆④「1個放水」計算!$AL$37:$AX$37,◆入力◆④「1個放水」計算!$AL$41:$AX$41),IF(I28="SUS",LOOKUP(I29,◆入力◆④「1個放水」計算!$AL$48:$AX$48,◆入力◆④「1個放水」計算!$AL$52:$AX$52),IF(OR(I28="PE",I28="PP"),LOOKUP(I29,◆入力◆④「1個放水」計算!$AL$59:$AX$59,◆入力◆④「1個放水」計算!$AL$64:$AX$64))))))))</f>
        <v>0</v>
      </c>
      <c r="R30" s="100">
        <f t="shared" si="0"/>
        <v>0</v>
      </c>
      <c r="S30" s="101"/>
      <c r="T30" s="92"/>
      <c r="U30" s="178"/>
      <c r="V30" s="174"/>
      <c r="W30" s="100">
        <f>IF($U30="Yスト",AC30,IF($I28="sgp-vb",AD30,IF($I28="sgp-pb",AE30,IF($I28="hivp",AF30,IF(OR($I28="sgp",$I28="フレキ"),AG30,IF($I28="sus",AH30,IF(OR($I28="PE",$I28="PP"),AI30,0)))))))</f>
        <v>0</v>
      </c>
      <c r="X30" s="82">
        <f t="shared" si="1"/>
        <v>0</v>
      </c>
      <c r="Y30" s="83"/>
      <c r="Z30" s="92">
        <f t="shared" ref="Z30" si="18">ROUNDUP(L29*Y29,2)</f>
        <v>0</v>
      </c>
      <c r="AA30" s="40"/>
      <c r="AB30" s="93"/>
      <c r="AC30" s="90">
        <f>IF(U30="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30" s="90">
        <f>IF($U30="仕切弁",LOOKUP($I29,◆入力◆④「1個放水」計算!$AL$4:$AX$4,◆入力◆④「1個放水」計算!$AL$9:$AX$9),IF($U30="逆止弁",LOOKUP($I29,◆入力◆④「1個放水」計算!$AL$4:$AX$4,◆入力◆④「1個放水」計算!$AL$10:$AX$10),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E30" s="90">
        <f>IF($U30="仕切弁",LOOKUP($I29,◆入力◆④「1個放水」計算!$AL$15:$AX$15,◆入力◆④「1個放水」計算!$AL$20:$AX$20),IF($U30="逆止弁",LOOKUP($I29,◆入力◆④「1個放水」計算!$AL$15:$AX$15,◆入力◆④「1個放水」計算!$AL$21:$AX$21),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F30" s="90">
        <f>IF($U30="仕切弁",LOOKUP($I29,◆入力◆④「1個放水」計算!$AL$26:$AX$26,◆入力◆④「1個放水」計算!$AL$31:$AX$31),IF($U30="逆止弁",LOOKUP($I29,◆入力◆④「1個放水」計算!$AL$26:$AX$26,◆入力◆④「1個放水」計算!$AL$32:$AX$32),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G30" s="90">
        <f>IF($U30="仕切弁",LOOKUP($I29,◆入力◆④「1個放水」計算!$AL$37:$AX$37,◆入力◆④「1個放水」計算!$AL$42:$AX$42),IF($U30="逆止弁",LOOKUP($I29,◆入力◆④「1個放水」計算!$AL$37:$AX$37,◆入力◆④「1個放水」計算!$AL$43:$AX$43),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H30" s="90">
        <f>IF($U30="仕切弁",LOOKUP($I29,◆入力◆④「1個放水」計算!$AL$48:$AX$48,◆入力◆④「1個放水」計算!$AL$53:$AX$53),IF($U30="逆止弁",LOOKUP($I29,◆入力◆④「1個放水」計算!$AL$48:$AX$48,◆入力◆④「1個放水」計算!$AL$54:$AX$54),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I30" s="90">
        <f>IF($U30="仕切弁",LOOKUP($I29,◆入力◆④「1個放水」計算!$AL$59:$AX$59,◆入力◆④「1個放水」計算!$AL$65:$AX$65),IF($U30="逆止弁",LOOKUP($I29,◆入力◆④「1個放水」計算!$AL$59:$AX$59,◆入力◆④「1個放水」計算!$AL$66:$AX$66),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J30" s="144"/>
      <c r="AK30" s="57" t="s">
        <v>5</v>
      </c>
      <c r="AL30" s="63">
        <v>0.5</v>
      </c>
      <c r="AM30" s="63">
        <v>0.5</v>
      </c>
      <c r="AN30" s="63">
        <v>0.5</v>
      </c>
      <c r="AO30" s="63">
        <v>0.5</v>
      </c>
      <c r="AP30" s="63">
        <v>1.8</v>
      </c>
      <c r="AQ30" s="63">
        <v>1.8</v>
      </c>
      <c r="AR30" s="63">
        <v>2.7</v>
      </c>
      <c r="AS30" s="63">
        <v>3.5</v>
      </c>
      <c r="AT30" s="63">
        <v>3.5</v>
      </c>
      <c r="AU30" s="63">
        <v>5</v>
      </c>
      <c r="AV30" s="63">
        <v>8</v>
      </c>
      <c r="AW30" s="107"/>
      <c r="AX30" s="107"/>
      <c r="AY30" s="40"/>
      <c r="AZ30" s="40"/>
      <c r="BA30" s="40"/>
      <c r="BB30" s="180"/>
      <c r="BC30" s="40"/>
      <c r="BD30" s="40"/>
      <c r="BE30" s="40"/>
      <c r="BF30" s="40"/>
      <c r="BG30" s="40"/>
      <c r="BK30" s="40"/>
      <c r="BL30" s="40"/>
      <c r="BM30" s="40"/>
      <c r="BN30" s="40"/>
      <c r="BO30" s="40"/>
      <c r="BP30" s="40"/>
      <c r="BQ30" s="40"/>
      <c r="BR30" s="40"/>
      <c r="BS30" s="40"/>
      <c r="BT30" s="40"/>
    </row>
    <row r="31" spans="6:72" x14ac:dyDescent="0.15">
      <c r="F31" s="235" t="s">
        <v>28</v>
      </c>
      <c r="G31" s="40"/>
      <c r="H31" s="169"/>
      <c r="I31" s="189" t="str">
        <f>IF(H31="","",◆入力◆①配管容量!$M$3)</f>
        <v/>
      </c>
      <c r="J31" s="40"/>
      <c r="K31" s="148"/>
      <c r="L31" s="95"/>
      <c r="M31" s="96"/>
      <c r="N31" s="85"/>
      <c r="O31" s="77" t="str">
        <f>IF(I32="","","E９０°")</f>
        <v/>
      </c>
      <c r="P31" s="173"/>
      <c r="Q31" s="78">
        <f>IF(I32=0,0,IF(I31="SGP-VB",LOOKUP(I32,◆入力◆④「1個放水」計算!$AL$4:$AX$4,◆入力◆④「1個放水」計算!$AL$6:$AX$6),IF(I31="SGP-PB",LOOKUP(I32,◆入力◆④「1個放水」計算!$AL$15:$AX$15,◆入力◆④「1個放水」計算!$AL$17:$AX$17),IF(I31="HIVP",LOOKUP(I32,◆入力◆④「1個放水」計算!$AL$26:$AX$26,◆入力◆④「1個放水」計算!$AL$28:$AX$28),IF(OR(I31="SGP",I31="フレキ"),LOOKUP(I32,◆入力◆④「1個放水」計算!$AL$37:$AX$37,◆入力◆④「1個放水」計算!$AL$39:$AX$39),IF(I31="SUS",LOOKUP(I32,◆入力◆④「1個放水」計算!$AL$48:$AX$48,◆入力◆④「1個放水」計算!$AL$50:$AX$50),IF(OR(I31="PE",I31="PP"),LOOKUP(I32,◆入力◆④「1個放水」計算!$AL$59:$AX$59,◆入力◆④「1個放水」計算!$AL$61:$AX$61))))))))</f>
        <v>0</v>
      </c>
      <c r="R31" s="79">
        <f t="shared" si="0"/>
        <v>0</v>
      </c>
      <c r="S31" s="80"/>
      <c r="T31" s="81">
        <v>0</v>
      </c>
      <c r="U31" s="176"/>
      <c r="V31" s="173"/>
      <c r="W31" s="82">
        <f>IF($U31="Yスト",AC31,IF($I31="sgp-vb",AD31,IF($I31="sgp-pb",AE31,IF($I31="hivp",AF31,IF(OR($I31="sgp",$I31="フレキ"),AG31,IF($I31="sus",AH31,IF(OR($I31="PE",$I31="PP"),AI31,0)))))))</f>
        <v>0</v>
      </c>
      <c r="X31" s="79">
        <f t="shared" si="1"/>
        <v>0</v>
      </c>
      <c r="Y31" s="80"/>
      <c r="Z31" s="84">
        <f t="shared" ref="Z31" si="19">IF(AND($U31="電動弁",$V31=1),LOOKUP($K32,$AL$77:$BQ$77,$AL$78:$BQ$78),IF(AND($U31="逆流防止装置E",$V31=1),LOOKUP($I32,$AN$106:$AR$106,$AN128:$AR128),IF(AND($U31="逆流防止装置K",$V31=1),LOOKUP($I32,$AN$106:$AR$106,$AN129:$AR129),IF(AND($U31="逆流防止装置T",$V31=1),LOOKUP($I32,$AN$106:$AR$106,$AN130:$AR130),0))))</f>
        <v>0</v>
      </c>
      <c r="AA31" s="40"/>
      <c r="AB31" s="76"/>
      <c r="AC31" s="86">
        <f>IF(U31="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1" s="86">
        <f>IF($U31="仕切弁",LOOKUP($I32,◆入力◆④「1個放水」計算!$AL$4:$AX$4,◆入力◆④「1個放水」計算!$AL$9:$AX$9),IF($U31="逆止弁",LOOKUP($I32,◆入力◆④「1個放水」計算!$AL$4:$AX$4,◆入力◆④「1個放水」計算!$AL$10:$AX$10),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E31" s="86">
        <f>IF($U31="仕切弁",LOOKUP($I32,◆入力◆④「1個放水」計算!$AL$15:$AX$15,◆入力◆④「1個放水」計算!$AL$20:$AX$20),IF($U31="逆止弁",LOOKUP($I32,◆入力◆④「1個放水」計算!$AL$15:$AX$15,◆入力◆④「1個放水」計算!$AL$21:$AX$21),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F31" s="86">
        <f>IF($U31="仕切弁",LOOKUP($I32,◆入力◆④「1個放水」計算!$AL$26:$AX$26,◆入力◆④「1個放水」計算!$AL$31:$AX$31),IF($U31="逆止弁",LOOKUP($I32,◆入力◆④「1個放水」計算!$AL$26:$AX$26,◆入力◆④「1個放水」計算!$AL$32:$AX$32),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G31" s="86">
        <f>IF($U31="仕切弁",LOOKUP($I32,◆入力◆④「1個放水」計算!$AL$37:$AX$37,◆入力◆④「1個放水」計算!$AL$42:$AX$42),IF($U31="逆止弁",LOOKUP($I32,◆入力◆④「1個放水」計算!$AL$37:$AX$37,◆入力◆④「1個放水」計算!$AL$43:$AX$43),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H31" s="86">
        <f>IF($U31="仕切弁",LOOKUP($I32,◆入力◆④「1個放水」計算!$AL$48:$AX$48,◆入力◆④「1個放水」計算!$AL$53:$AX$53),IF($U31="逆止弁",LOOKUP($I32,◆入力◆④「1個放水」計算!$AL$48:$AX$48,◆入力◆④「1個放水」計算!$AL$54:$AX$54),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I31" s="86">
        <f>IF($U31="仕切弁",LOOKUP($I32,◆入力◆④「1個放水」計算!$AL$59:$AX$59,◆入力◆④「1個放水」計算!$AL$65:$AX$65),IF($U31="逆止弁",LOOKUP($I32,◆入力◆④「1個放水」計算!$AL$59:$AX$59,◆入力◆④「1個放水」計算!$AL$66:$AX$66),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J31" s="115"/>
      <c r="AK31" s="57" t="s">
        <v>6</v>
      </c>
      <c r="AL31" s="63">
        <v>0.12</v>
      </c>
      <c r="AM31" s="63">
        <v>0.12</v>
      </c>
      <c r="AN31" s="63">
        <v>0.15</v>
      </c>
      <c r="AO31" s="63">
        <v>0.18</v>
      </c>
      <c r="AP31" s="63">
        <v>0.24</v>
      </c>
      <c r="AQ31" s="63">
        <v>0.3</v>
      </c>
      <c r="AR31" s="63">
        <v>0.39</v>
      </c>
      <c r="AS31" s="63">
        <v>0.48</v>
      </c>
      <c r="AT31" s="63">
        <v>0.63</v>
      </c>
      <c r="AU31" s="63">
        <v>0.81</v>
      </c>
      <c r="AV31" s="63">
        <v>0.99</v>
      </c>
      <c r="AW31" s="103"/>
      <c r="AX31" s="103"/>
      <c r="AY31" s="40"/>
      <c r="AZ31" s="40"/>
      <c r="BA31" s="40"/>
      <c r="BB31" s="180"/>
      <c r="BC31" s="40"/>
      <c r="BD31" s="40"/>
      <c r="BE31" s="40"/>
      <c r="BF31" s="40"/>
      <c r="BG31" s="40"/>
      <c r="BK31" s="40"/>
      <c r="BL31" s="40"/>
      <c r="BM31" s="40"/>
      <c r="BN31" s="40"/>
      <c r="BO31" s="40"/>
      <c r="BP31" s="40"/>
      <c r="BQ31" s="40"/>
      <c r="BR31" s="40"/>
      <c r="BS31" s="40"/>
      <c r="BT31" s="40"/>
    </row>
    <row r="32" spans="6:72" x14ac:dyDescent="0.15">
      <c r="F32" s="235"/>
      <c r="G32" s="40"/>
      <c r="H32" s="186">
        <f>IF(H31=8,"⑧－⑨",IF(H31=7,"⑦－⑧",0))</f>
        <v>0</v>
      </c>
      <c r="I32" s="170"/>
      <c r="J32" s="40"/>
      <c r="K32" s="134" t="str">
        <f>IF(I32="","",K29)</f>
        <v/>
      </c>
      <c r="L32" s="74">
        <f>IF(I32="",0,IF(I32&gt;=65,K32^1.85*0.012/I33^4.87,ROUNDUP((0.0126+(0.01739-(0.1087*I33/100))/SQRT(4*K32/(60000*PI()*(I33/100)^2)))*(1/(I33/100))*((4*K32/(60000*PI()*(I33/100)^2))^2/(2*9.8)),4)))</f>
        <v>0</v>
      </c>
      <c r="M32" s="172"/>
      <c r="N32" s="84">
        <f>ROUNDUP(L32*M32,2)</f>
        <v>0</v>
      </c>
      <c r="O32" s="87" t="str">
        <f>IF(I32="","","Ｔ直")</f>
        <v/>
      </c>
      <c r="P32" s="174"/>
      <c r="Q32" s="88">
        <f>IF(I32=0,0,IF(I31="SGP-VB",LOOKUP(I32,◆入力◆④「1個放水」計算!$AL$4:$AX$4,◆入力◆④「1個放水」計算!$AL$7:$AX$7),IF(I31="SGP-PB",LOOKUP(I32,◆入力◆④「1個放水」計算!$AL$15:$AX$15,◆入力◆④「1個放水」計算!$AL$18:$AX$18),IF(I31="HIVP",LOOKUP(I32,◆入力◆④「1個放水」計算!$AL$26:$AX$26,◆入力◆④「1個放水」計算!$AL$29:$AX$29),IF(OR(I31="SGP",I31="フレキ"),LOOKUP(I32,◆入力◆④「1個放水」計算!$AL$37:$AX$37,◆入力◆④「1個放水」計算!$AL$40:$AX$40),IF(I31="SUS",LOOKUP(I32,◆入力◆④「1個放水」計算!$AL$48:$AX$48,◆入力◆④「1個放水」計算!$AL$51:$AX$51),IF(OR(I31="PE",I31="PP"),LOOKUP(I32,◆入力◆④「1個放水」計算!$AL$59:$AX$59,◆入力◆④「1個放水」計算!$AL$63:$AX$63))))))))</f>
        <v>0</v>
      </c>
      <c r="R32" s="82">
        <f t="shared" si="0"/>
        <v>0</v>
      </c>
      <c r="S32" s="83">
        <f>R31+R32+R33</f>
        <v>0</v>
      </c>
      <c r="T32" s="84">
        <f>ROUNDUP(L32*S32,2)</f>
        <v>0</v>
      </c>
      <c r="U32" s="177"/>
      <c r="V32" s="174"/>
      <c r="W32" s="82">
        <f>IF($U32="Yスト",AC32,IF($I31="sgp-vb",AD32,IF($I31="sgp-pb",AE32,IF($I31="hivp",AF32,IF(OR($I31="sgp",$I31="フレキ"),AG32,IF($I31="sus",AH32,IF(OR($I31="PE",$I31="PP"),AI32,0)))))))</f>
        <v>0</v>
      </c>
      <c r="X32" s="82">
        <f t="shared" si="1"/>
        <v>0</v>
      </c>
      <c r="Y32" s="83">
        <f>SUM(X31:X33)</f>
        <v>0</v>
      </c>
      <c r="Z32" s="84">
        <f t="shared" ref="Z32" si="20">IF(AND($U32="電動弁",$V32=1),LOOKUP($K32,$AL$77:$BQ$77,$AL$78:$BQ$78),IF(AND($U32="逆流防止装置E",$V32=1),LOOKUP($I32,$AN$106:$AR$106,$AN128:$AR128),IF(AND($U32="逆流防止装置K",$V32=1),LOOKUP($I32,$AN$106:$AR$106,$AN129:$AR129),IF(AND($U32="逆流防止装置T",$V32=1),LOOKUP($I32,$AN$106:$AR$106,$AN130:$AR130),0))))</f>
        <v>0</v>
      </c>
      <c r="AA32" s="40"/>
      <c r="AB32" s="84">
        <f>N32+T32+Z31+Z32+Z33</f>
        <v>0</v>
      </c>
      <c r="AC32" s="89">
        <f>IF(U32="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2" s="90">
        <f>IF($U32="仕切弁",LOOKUP($I32,◆入力◆④「1個放水」計算!$AL$4:$AX$4,◆入力◆④「1個放水」計算!$AL$9:$AX$9),IF($U32="逆止弁",LOOKUP($I32,◆入力◆④「1個放水」計算!$AL$4:$AX$4,◆入力◆④「1個放水」計算!$AL$10:$AX$10),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E32" s="90">
        <f>IF($U32="仕切弁",LOOKUP($I32,◆入力◆④「1個放水」計算!$AL$15:$AX$15,◆入力◆④「1個放水」計算!$AL$20:$AX$20),IF($U32="逆止弁",LOOKUP($I32,◆入力◆④「1個放水」計算!$AL$15:$AX$15,◆入力◆④「1個放水」計算!$AL$21:$AX$21),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F32" s="90">
        <f>IF($U32="仕切弁",LOOKUP($I32,◆入力◆④「1個放水」計算!$AL$26:$AX$26,◆入力◆④「1個放水」計算!$AL$31:$AX$31),IF($U32="逆止弁",LOOKUP($I32,◆入力◆④「1個放水」計算!$AL$26:$AX$26,◆入力◆④「1個放水」計算!$AL$32:$AX$32),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G32" s="90">
        <f>IF($U32="仕切弁",LOOKUP($I32,◆入力◆④「1個放水」計算!$AL$37:$AX$37,◆入力◆④「1個放水」計算!$AL$42:$AX$42),IF($U32="逆止弁",LOOKUP($I32,◆入力◆④「1個放水」計算!$AL$37:$AX$37,◆入力◆④「1個放水」計算!$AL$43:$AX$43),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H32" s="90">
        <f>IF($U32="仕切弁",LOOKUP($I32,◆入力◆④「1個放水」計算!$AL$48:$AX$48,◆入力◆④「1個放水」計算!$AL$53:$AX$53),IF($U32="逆止弁",LOOKUP($I32,◆入力◆④「1個放水」計算!$AL$48:$AX$48,◆入力◆④「1個放水」計算!$AL$54:$AX$54),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I32" s="90">
        <f>IF($U32="仕切弁",LOOKUP($I32,◆入力◆④「1個放水」計算!$AL$59:$AX$59,◆入力◆④「1個放水」計算!$AL$65:$AX$65),IF($U32="逆止弁",LOOKUP($I32,◆入力◆④「1個放水」計算!$AL$59:$AX$59,◆入力◆④「1個放水」計算!$AL$66:$AX$66),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J32" s="115"/>
      <c r="AK32" s="57" t="s">
        <v>41</v>
      </c>
      <c r="AL32" s="63">
        <v>1.2</v>
      </c>
      <c r="AM32" s="63">
        <v>1.2</v>
      </c>
      <c r="AN32" s="63">
        <v>1.6</v>
      </c>
      <c r="AO32" s="63">
        <v>2</v>
      </c>
      <c r="AP32" s="63">
        <v>2.5</v>
      </c>
      <c r="AQ32" s="63">
        <v>3.1</v>
      </c>
      <c r="AR32" s="63">
        <v>4</v>
      </c>
      <c r="AS32" s="63">
        <v>4.5999999999999996</v>
      </c>
      <c r="AT32" s="63">
        <v>5.7</v>
      </c>
      <c r="AU32" s="63">
        <v>7.6</v>
      </c>
      <c r="AV32" s="63">
        <v>10</v>
      </c>
      <c r="AW32" s="107"/>
      <c r="AX32" s="103"/>
      <c r="AY32" s="40"/>
      <c r="AZ32" s="40"/>
      <c r="BA32" s="40"/>
      <c r="BB32" s="180"/>
      <c r="BC32" s="40"/>
      <c r="BD32" s="40"/>
      <c r="BE32" s="40"/>
      <c r="BF32" s="40"/>
      <c r="BG32" s="40"/>
      <c r="BK32" s="40"/>
      <c r="BL32" s="40"/>
      <c r="BM32" s="40"/>
      <c r="BN32" s="40"/>
      <c r="BO32" s="40"/>
      <c r="BP32" s="40"/>
      <c r="BQ32" s="40"/>
      <c r="BR32" s="40"/>
      <c r="BS32" s="40"/>
      <c r="BT32" s="40"/>
    </row>
    <row r="33" spans="6:72" x14ac:dyDescent="0.15">
      <c r="F33" s="235"/>
      <c r="G33" s="40"/>
      <c r="H33" s="149"/>
      <c r="I33" s="91">
        <f>IF(I32="",0,IF(I31="SGP-VB",LOOKUP(I32,◆入力◆④「1個放水」計算!$AL$4:$AX$4,◆入力◆④「1個放水」計算!$AL$5:$AX$5),IF(I31="SGP-PB",LOOKUP(I32,◆入力◆④「1個放水」計算!$AL$15:$AX$15,◆入力◆④「1個放水」計算!$AL$16:$AX$16),IF(I31="HIVP",LOOKUP(I32,◆入力◆④「1個放水」計算!$AL$26:$AX$26,◆入力◆④「1個放水」計算!$AL$27:$AX$27),IF(OR(I31="SGP",I31="フレキ"),LOOKUP(I32,◆入力◆④「1個放水」計算!$AL$37:$AX$37,◆入力◆④「1個放水」計算!$AL$38:$AX$38),IF(I31="SUS",LOOKUP(I32,◆入力◆④「1個放水」計算!$AL$48:$AX$48,◆入力◆④「1個放水」計算!$AL$49:$AX$49),IF(OR(I31="PE",I31="PP"),LOOKUP(I32,◆入力◆④「1個放水」計算!$AL$59:$AX$59,◆入力◆④「1個放水」計算!$AL$60:$AX$60))))))))</f>
        <v>0</v>
      </c>
      <c r="J33" s="40"/>
      <c r="K33" s="150"/>
      <c r="L33" s="98"/>
      <c r="M33" s="99"/>
      <c r="N33" s="93"/>
      <c r="O33" s="87" t="str">
        <f>IF(I32="","","Ｔ分")</f>
        <v/>
      </c>
      <c r="P33" s="175"/>
      <c r="Q33" s="88">
        <f>IF(I32=0,0,IF(I31="SGP-VB",LOOKUP(I32,◆入力◆④「1個放水」計算!$AL$4:$AX$4,◆入力◆④「1個放水」計算!$AL$8:$AX$8),IF(I31="SGP-PB",LOOKUP(I32,◆入力◆④「1個放水」計算!$AL$15:$AX$15,◆入力◆④「1個放水」計算!$AL$19:$AX$19),IF(I31="HIVP",LOOKUP(I32,◆入力◆④「1個放水」計算!$AL$26:$AX$26,◆入力◆④「1個放水」計算!$AL$30:$AX$30),IF(OR(I31="SGP",I31="フレキ"),LOOKUP(I32,◆入力◆④「1個放水」計算!$AL$37:$AX$37,◆入力◆④「1個放水」計算!$AL$41:$AX$41),IF(I31="SUS",LOOKUP(I32,◆入力◆④「1個放水」計算!$AL$48:$AX$48,◆入力◆④「1個放水」計算!$AL$52:$AX$52),IF(OR(I31="PE",I31="PP"),LOOKUP(I32,◆入力◆④「1個放水」計算!$AL$59:$AX$59,◆入力◆④「1個放水」計算!$AL$64:$AX$64))))))))</f>
        <v>0</v>
      </c>
      <c r="R33" s="100">
        <f t="shared" si="0"/>
        <v>0</v>
      </c>
      <c r="S33" s="101"/>
      <c r="T33" s="92"/>
      <c r="U33" s="178"/>
      <c r="V33" s="175"/>
      <c r="W33" s="100">
        <f>IF($U33="Yスト",AC33,IF($I31="sgp-vb",AD33,IF($I31="sgp-pb",AE33,IF($I31="hivp",AF33,IF(OR($I31="sgp",$I31="フレキ"),AG33,IF($I31="sus",AH33,IF(OR($I31="PE",$I31="PP"),AI33,0)))))))</f>
        <v>0</v>
      </c>
      <c r="X33" s="100">
        <f t="shared" si="1"/>
        <v>0</v>
      </c>
      <c r="Y33" s="101"/>
      <c r="Z33" s="92">
        <f t="shared" ref="Z33" si="21">ROUNDUP(L32*Y32,2)</f>
        <v>0</v>
      </c>
      <c r="AA33" s="40"/>
      <c r="AB33" s="76"/>
      <c r="AC33" s="90">
        <f>IF(U33="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3" s="90">
        <f>IF($U33="仕切弁",LOOKUP($I32,◆入力◆④「1個放水」計算!$AL$4:$AX$4,◆入力◆④「1個放水」計算!$AL$9:$AX$9),IF($U33="逆止弁",LOOKUP($I32,◆入力◆④「1個放水」計算!$AL$4:$AX$4,◆入力◆④「1個放水」計算!$AL$10:$AX$10),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E33" s="90">
        <f>IF($U33="仕切弁",LOOKUP($I32,◆入力◆④「1個放水」計算!$AL$15:$AX$15,◆入力◆④「1個放水」計算!$AL$20:$AX$20),IF($U33="逆止弁",LOOKUP($I32,◆入力◆④「1個放水」計算!$AL$15:$AX$15,◆入力◆④「1個放水」計算!$AL$21:$AX$21),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F33" s="90">
        <f>IF($U33="仕切弁",LOOKUP($I32,◆入力◆④「1個放水」計算!$AL$26:$AX$26,◆入力◆④「1個放水」計算!$AL$31:$AX$31),IF($U33="逆止弁",LOOKUP($I32,◆入力◆④「1個放水」計算!$AL$26:$AX$26,◆入力◆④「1個放水」計算!$AL$32:$AX$32),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G33" s="90">
        <f>IF($U33="仕切弁",LOOKUP($I32,◆入力◆④「1個放水」計算!$AL$37:$AX$37,◆入力◆④「1個放水」計算!$AL$42:$AX$42),IF($U33="逆止弁",LOOKUP($I32,◆入力◆④「1個放水」計算!$AL$37:$AX$37,◆入力◆④「1個放水」計算!$AL$43:$AX$43),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H33" s="90">
        <f>IF($U33="仕切弁",LOOKUP($I32,◆入力◆④「1個放水」計算!$AL$48:$AX$48,◆入力◆④「1個放水」計算!$AL$53:$AX$53),IF($U33="逆止弁",LOOKUP($I32,◆入力◆④「1個放水」計算!$AL$48:$AX$48,◆入力◆④「1個放水」計算!$AL$54:$AX$54),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I33" s="90">
        <f>IF($U33="仕切弁",LOOKUP($I32,◆入力◆④「1個放水」計算!$AL$59:$AX$59,◆入力◆④「1個放水」計算!$AL$65:$AX$65),IF($U33="逆止弁",LOOKUP($I32,◆入力◆④「1個放水」計算!$AL$59:$AX$59,◆入力◆④「1個放水」計算!$AL$66:$AX$66),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J33" s="115"/>
      <c r="AK33" s="57" t="s">
        <v>70</v>
      </c>
      <c r="AL33" s="63">
        <v>1.38</v>
      </c>
      <c r="AM33" s="63">
        <v>1.38</v>
      </c>
      <c r="AN33" s="63">
        <v>2.1800000000000002</v>
      </c>
      <c r="AO33" s="63">
        <v>3</v>
      </c>
      <c r="AP33" s="63">
        <v>4.62</v>
      </c>
      <c r="AQ33" s="63">
        <v>5.47</v>
      </c>
      <c r="AR33" s="63">
        <v>8</v>
      </c>
      <c r="AS33" s="63"/>
      <c r="AT33" s="63"/>
      <c r="AU33" s="63"/>
      <c r="AV33" s="63"/>
      <c r="AW33" s="107"/>
      <c r="AX33" s="103"/>
      <c r="AY33" s="40"/>
      <c r="AZ33" s="40"/>
      <c r="BA33" s="40"/>
      <c r="BB33" s="180"/>
      <c r="BC33" s="40"/>
      <c r="BD33" s="40"/>
      <c r="BE33" s="40"/>
      <c r="BF33" s="40"/>
      <c r="BG33" s="40"/>
      <c r="BK33" s="40"/>
      <c r="BL33" s="40"/>
      <c r="BM33" s="40"/>
      <c r="BN33" s="40"/>
      <c r="BO33" s="40"/>
      <c r="BP33" s="40"/>
      <c r="BQ33" s="40"/>
      <c r="BR33" s="40"/>
      <c r="BS33" s="40"/>
      <c r="BT33" s="40"/>
    </row>
    <row r="34" spans="6:72" x14ac:dyDescent="0.15">
      <c r="F34" s="235" t="s">
        <v>29</v>
      </c>
      <c r="G34" s="40"/>
      <c r="H34" s="168"/>
      <c r="I34" s="189" t="str">
        <f>IF(H34="","",◆入力◆①配管容量!$M$3)</f>
        <v/>
      </c>
      <c r="J34" s="40"/>
      <c r="K34" s="134"/>
      <c r="L34" s="74"/>
      <c r="M34" s="75"/>
      <c r="N34" s="76"/>
      <c r="O34" s="77" t="str">
        <f>IF(I35="","","E９０°")</f>
        <v/>
      </c>
      <c r="P34" s="173"/>
      <c r="Q34" s="78">
        <f>IF(I35=0,0,IF(I34="SGP-VB",LOOKUP(I35,◆入力◆④「1個放水」計算!$AL$4:$AX$4,◆入力◆④「1個放水」計算!$AL$6:$AX$6),IF(I34="SGP-PB",LOOKUP(I35,◆入力◆④「1個放水」計算!$AL$15:$AX$15,◆入力◆④「1個放水」計算!$AL$17:$AX$17),IF(I34="HIVP",LOOKUP(I35,◆入力◆④「1個放水」計算!$AL$26:$AX$26,◆入力◆④「1個放水」計算!$AL$28:$AX$28),IF(OR(I34="SGP",I34="フレキ"),LOOKUP(I35,◆入力◆④「1個放水」計算!$AL$37:$AX$37,◆入力◆④「1個放水」計算!$AL$39:$AX$39),IF(I34="SUS",LOOKUP(I35,◆入力◆④「1個放水」計算!$AL$48:$AX$48,◆入力◆④「1個放水」計算!$AL$50:$AX$50),IF(OR(I34="PE",I34="PP"),LOOKUP(I35,◆入力◆④「1個放水」計算!$AL$59:$AX$59,◆入力◆④「1個放水」計算!$AL$61:$AX$61))))))))</f>
        <v>0</v>
      </c>
      <c r="R34" s="79">
        <f t="shared" si="0"/>
        <v>0</v>
      </c>
      <c r="S34" s="80"/>
      <c r="T34" s="81">
        <v>0</v>
      </c>
      <c r="U34" s="176"/>
      <c r="V34" s="174"/>
      <c r="W34" s="82">
        <f>IF($U34="Yスト",AC34,IF($I34="sgp-vb",AD34,IF($I34="sgp-pb",AE34,IF($I34="hivp",AF34,IF(OR($I34="sgp",$I34="フレキ"),AG34,IF($I34="sus",AH34,IF(OR($I34="PE",$I34="PP"),AI34,0)))))))</f>
        <v>0</v>
      </c>
      <c r="X34" s="82">
        <f t="shared" si="1"/>
        <v>0</v>
      </c>
      <c r="Y34" s="83"/>
      <c r="Z34" s="84">
        <f t="shared" ref="Z34" si="22">IF(AND($U34="電動弁",$V34=1),LOOKUP($K35,$AL$77:$BQ$77,$AL$78:$BQ$78),IF(AND($U34="逆流防止装置E",$V34=1),LOOKUP($I35,$AN$106:$AR$106,$AN131:$AR131),IF(AND($U34="逆流防止装置K",$V34=1),LOOKUP($I35,$AN$106:$AR$106,$AN132:$AR132),IF(AND($U34="逆流防止装置T",$V34=1),LOOKUP($I35,$AN$106:$AR$106,$AN133:$AR133),0))))</f>
        <v>0</v>
      </c>
      <c r="AA34" s="40"/>
      <c r="AB34" s="85"/>
      <c r="AC34" s="86">
        <f>IF(U34="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4" s="86">
        <f>IF($U34="仕切弁",LOOKUP($I35,◆入力◆④「1個放水」計算!$AL$4:$AX$4,◆入力◆④「1個放水」計算!$AL$9:$AX$9),IF($U34="逆止弁",LOOKUP($I35,◆入力◆④「1個放水」計算!$AL$4:$AX$4,◆入力◆④「1個放水」計算!$AL$10:$AX$10),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E34" s="86">
        <f>IF($U34="仕切弁",LOOKUP($I35,◆入力◆④「1個放水」計算!$AL$15:$AX$15,◆入力◆④「1個放水」計算!$AL$20:$AX$20),IF($U34="逆止弁",LOOKUP($I35,◆入力◆④「1個放水」計算!$AL$15:$AX$15,◆入力◆④「1個放水」計算!$AL$21:$AX$21),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F34" s="86">
        <f>IF($U34="仕切弁",LOOKUP($I35,◆入力◆④「1個放水」計算!$AL$26:$AX$26,◆入力◆④「1個放水」計算!$AL$31:$AX$31),IF($U34="逆止弁",LOOKUP($I35,◆入力◆④「1個放水」計算!$AL$26:$AX$26,◆入力◆④「1個放水」計算!$AL$32:$AX$32),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G34" s="86">
        <f>IF($U34="仕切弁",LOOKUP($I35,◆入力◆④「1個放水」計算!$AL$37:$AX$37,◆入力◆④「1個放水」計算!$AL$42:$AX$42),IF($U34="逆止弁",LOOKUP($I35,◆入力◆④「1個放水」計算!$AL$37:$AX$37,◆入力◆④「1個放水」計算!$AL$43:$AX$43),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H34" s="86">
        <f>IF($U34="仕切弁",LOOKUP($I35,◆入力◆④「1個放水」計算!$AL$48:$AX$48,◆入力◆④「1個放水」計算!$AL$53:$AX$53),IF($U34="逆止弁",LOOKUP($I35,◆入力◆④「1個放水」計算!$AL$48:$AX$48,◆入力◆④「1個放水」計算!$AL$54:$AX$54),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I34" s="86">
        <f>IF($U34="仕切弁",LOOKUP($I35,◆入力◆④「1個放水」計算!$AL$59:$AX$59,◆入力◆④「1個放水」計算!$AL$65:$AX$65),IF($U34="逆止弁",LOOKUP($I35,◆入力◆④「1個放水」計算!$AL$59:$AX$59,◆入力◆④「1個放水」計算!$AL$66:$AX$66),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J34" s="115"/>
      <c r="AY34" s="40"/>
      <c r="AZ34" s="40"/>
      <c r="BA34" s="40"/>
      <c r="BB34" s="180"/>
      <c r="BC34" s="40"/>
      <c r="BD34" s="40"/>
      <c r="BE34" s="40"/>
      <c r="BF34" s="40"/>
      <c r="BG34" s="40"/>
      <c r="BK34" s="40"/>
      <c r="BL34" s="40"/>
      <c r="BM34" s="40"/>
      <c r="BN34" s="40"/>
      <c r="BO34" s="40"/>
      <c r="BP34" s="40"/>
      <c r="BQ34" s="40"/>
      <c r="BR34" s="40"/>
      <c r="BS34" s="40"/>
      <c r="BT34" s="40"/>
    </row>
    <row r="35" spans="6:72" x14ac:dyDescent="0.15">
      <c r="F35" s="235"/>
      <c r="G35" s="40"/>
      <c r="H35" s="186">
        <f>IF(H34=9,"⑨－⑩",IF(H34=8,"⑧－⑨",0))</f>
        <v>0</v>
      </c>
      <c r="I35" s="170"/>
      <c r="J35" s="40"/>
      <c r="K35" s="134" t="str">
        <f>IF(I35="","",K32)</f>
        <v/>
      </c>
      <c r="L35" s="74">
        <f>IF(I35="",0,IF(I35&gt;=65,K35^1.85*0.012/I36^4.87,ROUNDUP((0.0126+(0.01739-(0.1087*I36/100))/SQRT(4*K35/(60000*PI()*(I36/100)^2)))*(1/(I36/100))*((4*K35/(60000*PI()*(I36/100)^2))^2/(2*9.8)),4)))</f>
        <v>0</v>
      </c>
      <c r="M35" s="172"/>
      <c r="N35" s="84">
        <f>ROUNDUP(L35*M35,2)</f>
        <v>0</v>
      </c>
      <c r="O35" s="87" t="str">
        <f>IF(I35="","","Ｔ直")</f>
        <v/>
      </c>
      <c r="P35" s="174"/>
      <c r="Q35" s="88">
        <f>IF(I35=0,0,IF(I34="SGP-VB",LOOKUP(I35,◆入力◆④「1個放水」計算!$AL$4:$AX$4,◆入力◆④「1個放水」計算!$AL$7:$AX$7),IF(I34="SGP-PB",LOOKUP(I35,◆入力◆④「1個放水」計算!$AL$15:$AX$15,◆入力◆④「1個放水」計算!$AL$18:$AX$18),IF(I34="HIVP",LOOKUP(I35,◆入力◆④「1個放水」計算!$AL$26:$AX$26,◆入力◆④「1個放水」計算!$AL$29:$AX$29),IF(OR(I34="SGP",I34="フレキ"),LOOKUP(I35,◆入力◆④「1個放水」計算!$AL$37:$AX$37,◆入力◆④「1個放水」計算!$AL$40:$AX$40),IF(I34="SUS",LOOKUP(I35,◆入力◆④「1個放水」計算!$AL$48:$AX$48,◆入力◆④「1個放水」計算!$AL$51:$AX$51),IF(OR(I34="PE",I34="PP"),LOOKUP(I35,◆入力◆④「1個放水」計算!$AL$59:$AX$59,◆入力◆④「1個放水」計算!$AL$63:$AX$63))))))))</f>
        <v>0</v>
      </c>
      <c r="R35" s="82">
        <f t="shared" si="0"/>
        <v>0</v>
      </c>
      <c r="S35" s="83">
        <f>R34+R35+R36</f>
        <v>0</v>
      </c>
      <c r="T35" s="84">
        <f>ROUNDUP(L35*S35,2)</f>
        <v>0</v>
      </c>
      <c r="U35" s="177"/>
      <c r="V35" s="174"/>
      <c r="W35" s="82">
        <f>IF($U35="Yスト",AC35,IF($I34="sgp-vb",AD35,IF($I34="sgp-pb",AE35,IF($I34="hivp",AF35,IF(OR($I34="sgp",$I34="フレキ"),AG35,IF($I34="sus",AH35,IF(OR($I34="PE",$I34="PP"),AI35,0)))))))</f>
        <v>0</v>
      </c>
      <c r="X35" s="82">
        <f t="shared" si="1"/>
        <v>0</v>
      </c>
      <c r="Y35" s="83">
        <f>SUM(X34:X36)</f>
        <v>0</v>
      </c>
      <c r="Z35" s="84">
        <f t="shared" ref="Z35" si="23">IF(AND($U35="電動弁",$V35=1),LOOKUP($K35,$AL$77:$BQ$77,$AL$78:$BQ$78),IF(AND($U35="逆流防止装置E",$V35=1),LOOKUP($I35,$AN$106:$AR$106,$AN131:$AR131),IF(AND($U35="逆流防止装置K",$V35=1),LOOKUP($I35,$AN$106:$AR$106,$AN132:$AR132),IF(AND($U35="逆流防止装置T",$V35=1),LOOKUP($I35,$AN$106:$AR$106,$AN133:$AR133),0))))</f>
        <v>0</v>
      </c>
      <c r="AA35" s="40"/>
      <c r="AB35" s="84">
        <f>N35+T35+Z34+Z35+Z36</f>
        <v>0</v>
      </c>
      <c r="AC35" s="89">
        <f>IF(U35="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5" s="90">
        <f>IF($U35="仕切弁",LOOKUP($I35,◆入力◆④「1個放水」計算!$AL$4:$AX$4,◆入力◆④「1個放水」計算!$AL$9:$AX$9),IF($U35="逆止弁",LOOKUP($I35,◆入力◆④「1個放水」計算!$AL$4:$AX$4,◆入力◆④「1個放水」計算!$AL$10:$AX$10),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E35" s="90">
        <f>IF($U35="仕切弁",LOOKUP($I35,◆入力◆④「1個放水」計算!$AL$15:$AX$15,◆入力◆④「1個放水」計算!$AL$20:$AX$20),IF($U35="逆止弁",LOOKUP($I35,◆入力◆④「1個放水」計算!$AL$15:$AX$15,◆入力◆④「1個放水」計算!$AL$21:$AX$21),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F35" s="90">
        <f>IF($U35="仕切弁",LOOKUP($I35,◆入力◆④「1個放水」計算!$AL$26:$AX$26,◆入力◆④「1個放水」計算!$AL$31:$AX$31),IF($U35="逆止弁",LOOKUP($I35,◆入力◆④「1個放水」計算!$AL$26:$AX$26,◆入力◆④「1個放水」計算!$AL$32:$AX$32),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G35" s="90">
        <f>IF($U35="仕切弁",LOOKUP($I35,◆入力◆④「1個放水」計算!$AL$37:$AX$37,◆入力◆④「1個放水」計算!$AL$42:$AX$42),IF($U35="逆止弁",LOOKUP($I35,◆入力◆④「1個放水」計算!$AL$37:$AX$37,◆入力◆④「1個放水」計算!$AL$43:$AX$43),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H35" s="90">
        <f>IF($U35="仕切弁",LOOKUP($I35,◆入力◆④「1個放水」計算!$AL$48:$AX$48,◆入力◆④「1個放水」計算!$AL$53:$AX$53),IF($U35="逆止弁",LOOKUP($I35,◆入力◆④「1個放水」計算!$AL$48:$AX$48,◆入力◆④「1個放水」計算!$AL$54:$AX$54),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I35" s="90">
        <f>IF($U35="仕切弁",LOOKUP($I35,◆入力◆④「1個放水」計算!$AL$59:$AX$59,◆入力◆④「1個放水」計算!$AL$65:$AX$65),IF($U35="逆止弁",LOOKUP($I35,◆入力◆④「1個放水」計算!$AL$59:$AX$59,◆入力◆④「1個放水」計算!$AL$66:$AX$66),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J35" s="115"/>
      <c r="AY35" s="40"/>
      <c r="AZ35" s="40"/>
      <c r="BA35" s="40"/>
      <c r="BB35" s="180"/>
      <c r="BC35" s="40"/>
      <c r="BD35" s="40"/>
      <c r="BE35" s="40"/>
      <c r="BF35" s="40"/>
      <c r="BG35" s="40"/>
      <c r="BK35" s="40"/>
      <c r="BL35" s="40"/>
      <c r="BM35" s="40"/>
      <c r="BN35" s="40"/>
      <c r="BO35" s="40"/>
      <c r="BP35" s="40"/>
      <c r="BQ35" s="40"/>
      <c r="BR35" s="40"/>
      <c r="BS35" s="40"/>
      <c r="BT35" s="40"/>
    </row>
    <row r="36" spans="6:72" x14ac:dyDescent="0.15">
      <c r="F36" s="235"/>
      <c r="G36" s="40"/>
      <c r="H36" s="145"/>
      <c r="I36" s="91">
        <f>IF(I35="",0,IF(I34="SGP-VB",LOOKUP(I35,◆入力◆④「1個放水」計算!$AL$4:$AX$4,◆入力◆④「1個放水」計算!$AL$5:$AX$5),IF(I34="SGP-PB",LOOKUP(I35,◆入力◆④「1個放水」計算!$AL$15:$AX$15,◆入力◆④「1個放水」計算!$AL$16:$AX$16),IF(I34="HIVP",LOOKUP(I35,◆入力◆④「1個放水」計算!$AL$26:$AX$26,◆入力◆④「1個放水」計算!$AL$27:$AX$27),IF(OR(I34="SGP",I34="フレキ"),LOOKUP(I35,◆入力◆④「1個放水」計算!$AL$37:$AX$37,◆入力◆④「1個放水」計算!$AL$38:$AX$38),IF(I34="SUS",LOOKUP(I35,◆入力◆④「1個放水」計算!$AL$48:$AX$48,◆入力◆④「1個放水」計算!$AL$49:$AX$49),IF(OR(I34="PE",I34="PP"),LOOKUP(I35,◆入力◆④「1個放水」計算!$AL$59:$AX$59,◆入力◆④「1個放水」計算!$AL$60:$AX$60))))))))</f>
        <v>0</v>
      </c>
      <c r="J36" s="40"/>
      <c r="K36" s="134"/>
      <c r="L36" s="74"/>
      <c r="M36" s="75"/>
      <c r="N36" s="76"/>
      <c r="O36" s="87" t="str">
        <f>IF(I35="","","Ｔ分")</f>
        <v/>
      </c>
      <c r="P36" s="175"/>
      <c r="Q36" s="88">
        <f>IF(I35=0,0,IF(I34="SGP-VB",LOOKUP(I35,◆入力◆④「1個放水」計算!$AL$4:$AX$4,◆入力◆④「1個放水」計算!$AL$8:$AX$8),IF(I34="SGP-PB",LOOKUP(I35,◆入力◆④「1個放水」計算!$AL$15:$AX$15,◆入力◆④「1個放水」計算!$AL$19:$AX$19),IF(I34="HIVP",LOOKUP(I35,◆入力◆④「1個放水」計算!$AL$26:$AX$26,◆入力◆④「1個放水」計算!$AL$30:$AX$30),IF(OR(I34="SGP",I34="フレキ"),LOOKUP(I35,◆入力◆④「1個放水」計算!$AL$37:$AX$37,◆入力◆④「1個放水」計算!$AL$41:$AX$41),IF(I34="SUS",LOOKUP(I35,◆入力◆④「1個放水」計算!$AL$48:$AX$48,◆入力◆④「1個放水」計算!$AL$52:$AX$52),IF(OR(I34="PE",I34="PP"),LOOKUP(I35,◆入力◆④「1個放水」計算!$AL$59:$AX$59,◆入力◆④「1個放水」計算!$AL$64:$AX$64))))))))</f>
        <v>0</v>
      </c>
      <c r="R36" s="100">
        <f t="shared" si="0"/>
        <v>0</v>
      </c>
      <c r="S36" s="101"/>
      <c r="T36" s="92"/>
      <c r="U36" s="178"/>
      <c r="V36" s="174"/>
      <c r="W36" s="100">
        <f>IF($U36="Yスト",AC36,IF($I34="sgp-vb",AD36,IF($I34="sgp-pb",AE36,IF($I34="hivp",AF36,IF(OR($I34="sgp",$I34="フレキ"),AG36,IF($I34="sus",AH36,IF(OR($I34="PE",$I34="PP"),AI36,0)))))))</f>
        <v>0</v>
      </c>
      <c r="X36" s="82">
        <f t="shared" si="1"/>
        <v>0</v>
      </c>
      <c r="Y36" s="83"/>
      <c r="Z36" s="92">
        <f t="shared" ref="Z36" si="24">ROUNDUP(L35*Y35,2)</f>
        <v>0</v>
      </c>
      <c r="AA36" s="40"/>
      <c r="AB36" s="93"/>
      <c r="AC36" s="90">
        <f>IF(U36="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6" s="90">
        <f>IF($U36="仕切弁",LOOKUP($I35,◆入力◆④「1個放水」計算!$AL$4:$AX$4,◆入力◆④「1個放水」計算!$AL$9:$AX$9),IF($U36="逆止弁",LOOKUP($I35,◆入力◆④「1個放水」計算!$AL$4:$AX$4,◆入力◆④「1個放水」計算!$AL$10:$AX$10),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E36" s="90">
        <f>IF($U36="仕切弁",LOOKUP($I35,◆入力◆④「1個放水」計算!$AL$15:$AX$15,◆入力◆④「1個放水」計算!$AL$20:$AX$20),IF($U36="逆止弁",LOOKUP($I35,◆入力◆④「1個放水」計算!$AL$15:$AX$15,◆入力◆④「1個放水」計算!$AL$21:$AX$21),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F36" s="90">
        <f>IF($U36="仕切弁",LOOKUP($I35,◆入力◆④「1個放水」計算!$AL$26:$AX$26,◆入力◆④「1個放水」計算!$AL$31:$AX$31),IF($U36="逆止弁",LOOKUP($I35,◆入力◆④「1個放水」計算!$AL$26:$AX$26,◆入力◆④「1個放水」計算!$AL$32:$AX$32),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G36" s="90">
        <f>IF($U36="仕切弁",LOOKUP($I35,◆入力◆④「1個放水」計算!$AL$37:$AX$37,◆入力◆④「1個放水」計算!$AL$42:$AX$42),IF($U36="逆止弁",LOOKUP($I35,◆入力◆④「1個放水」計算!$AL$37:$AX$37,◆入力◆④「1個放水」計算!$AL$43:$AX$43),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H36" s="90">
        <f>IF($U36="仕切弁",LOOKUP($I35,◆入力◆④「1個放水」計算!$AL$48:$AX$48,◆入力◆④「1個放水」計算!$AL$53:$AX$53),IF($U36="逆止弁",LOOKUP($I35,◆入力◆④「1個放水」計算!$AL$48:$AX$48,◆入力◆④「1個放水」計算!$AL$54:$AX$54),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I36" s="90">
        <f>IF($U36="仕切弁",LOOKUP($I35,◆入力◆④「1個放水」計算!$AL$59:$AX$59,◆入力◆④「1個放水」計算!$AL$65:$AX$65),IF($U36="逆止弁",LOOKUP($I35,◆入力◆④「1個放水」計算!$AL$59:$AX$59,◆入力◆④「1個放水」計算!$AL$66:$AX$66),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J36" s="115"/>
      <c r="AK36" s="108" t="s">
        <v>59</v>
      </c>
      <c r="AL36" s="108"/>
      <c r="AM36" s="108"/>
      <c r="AN36" s="109" t="s">
        <v>60</v>
      </c>
      <c r="AY36" s="40"/>
      <c r="AZ36" s="40"/>
      <c r="BA36" s="40"/>
      <c r="BB36" s="180"/>
      <c r="BC36" s="40"/>
      <c r="BD36" s="40"/>
      <c r="BE36" s="40"/>
      <c r="BF36" s="40"/>
      <c r="BG36" s="40"/>
      <c r="BK36" s="40"/>
      <c r="BL36" s="40"/>
      <c r="BM36" s="40"/>
      <c r="BN36" s="40"/>
      <c r="BO36" s="40"/>
      <c r="BP36" s="40"/>
      <c r="BQ36" s="40"/>
      <c r="BR36" s="40"/>
      <c r="BS36" s="40"/>
      <c r="BT36" s="40"/>
    </row>
    <row r="37" spans="6:72" x14ac:dyDescent="0.15">
      <c r="F37" s="235" t="s">
        <v>30</v>
      </c>
      <c r="G37" s="40"/>
      <c r="H37" s="169"/>
      <c r="I37" s="189" t="str">
        <f>IF(H37="","",◆入力◆①配管容量!$M$3)</f>
        <v/>
      </c>
      <c r="J37" s="40"/>
      <c r="K37" s="148"/>
      <c r="L37" s="95"/>
      <c r="M37" s="96"/>
      <c r="N37" s="85"/>
      <c r="O37" s="77" t="str">
        <f>IF(I38="","","E９０°")</f>
        <v/>
      </c>
      <c r="P37" s="173"/>
      <c r="Q37" s="78">
        <f>IF(I38=0,0,IF(I37="SGP-VB",LOOKUP(I38,◆入力◆④「1個放水」計算!$AL$4:$AX$4,◆入力◆④「1個放水」計算!$AL$6:$AX$6),IF(I37="SGP-PB",LOOKUP(I38,◆入力◆④「1個放水」計算!$AL$15:$AX$15,◆入力◆④「1個放水」計算!$AL$17:$AX$17),IF(I37="HIVP",LOOKUP(I38,◆入力◆④「1個放水」計算!$AL$26:$AX$26,◆入力◆④「1個放水」計算!$AL$28:$AX$28),IF(OR(I37="SGP",I37="フレキ"),LOOKUP(I38,◆入力◆④「1個放水」計算!$AL$37:$AX$37,◆入力◆④「1個放水」計算!$AL$39:$AX$39),IF(I37="SUS",LOOKUP(I38,◆入力◆④「1個放水」計算!$AL$48:$AX$48,◆入力◆④「1個放水」計算!$AL$50:$AX$50),IF(OR(I37="PE",I37="PP"),LOOKUP(I38,◆入力◆④「1個放水」計算!$AL$59:$AX$59,◆入力◆④「1個放水」計算!$AL$61:$AX$61))))))))</f>
        <v>0</v>
      </c>
      <c r="R37" s="79">
        <f t="shared" si="0"/>
        <v>0</v>
      </c>
      <c r="S37" s="80"/>
      <c r="T37" s="81">
        <v>0</v>
      </c>
      <c r="U37" s="176"/>
      <c r="V37" s="173"/>
      <c r="W37" s="82">
        <f>IF($U37="Yスト",AC37,IF($I37="sgp-vb",AD37,IF($I37="sgp-pb",AE37,IF($I37="hivp",AF37,IF(OR($I37="sgp",$I37="フレキ"),AG37,IF($I37="sus",AH37,IF(OR($I37="PE",$I37="PP"),AI37,0)))))))</f>
        <v>0</v>
      </c>
      <c r="X37" s="79">
        <f t="shared" si="1"/>
        <v>0</v>
      </c>
      <c r="Y37" s="80"/>
      <c r="Z37" s="84">
        <f t="shared" ref="Z37" si="25">IF(AND($U37="電動弁",$V37=1),LOOKUP($K38,$AL$77:$BQ$77,$AL$78:$BQ$78),IF(AND($U37="逆流防止装置E",$V37=1),LOOKUP($I38,$AN$106:$AR$106,$AN134:$AR134),IF(AND($U37="逆流防止装置K",$V37=1),LOOKUP($I38,$AN$106:$AR$106,$AN135:$AR135),IF(AND($U37="逆流防止装置T",$V37=1),LOOKUP($I38,$AN$106:$AR$106,$AN136:$AR136),0))))</f>
        <v>0</v>
      </c>
      <c r="AA37" s="40"/>
      <c r="AB37" s="76"/>
      <c r="AC37" s="86">
        <f>IF(U37="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7" s="86">
        <f>IF($U37="仕切弁",LOOKUP($I38,◆入力◆④「1個放水」計算!$AL$4:$AX$4,◆入力◆④「1個放水」計算!$AL$9:$AX$9),IF($U37="逆止弁",LOOKUP($I38,◆入力◆④「1個放水」計算!$AL$4:$AX$4,◆入力◆④「1個放水」計算!$AL$10:$AX$10),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E37" s="86">
        <f>IF($U37="仕切弁",LOOKUP($I38,◆入力◆④「1個放水」計算!$AL$15:$AX$15,◆入力◆④「1個放水」計算!$AL$20:$AX$20),IF($U37="逆止弁",LOOKUP($I38,◆入力◆④「1個放水」計算!$AL$15:$AX$15,◆入力◆④「1個放水」計算!$AL$21:$AX$21),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F37" s="86">
        <f>IF($U37="仕切弁",LOOKUP($I38,◆入力◆④「1個放水」計算!$AL$26:$AX$26,◆入力◆④「1個放水」計算!$AL$31:$AX$31),IF($U37="逆止弁",LOOKUP($I38,◆入力◆④「1個放水」計算!$AL$26:$AX$26,◆入力◆④「1個放水」計算!$AL$32:$AX$32),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G37" s="86">
        <f>IF($U37="仕切弁",LOOKUP($I38,◆入力◆④「1個放水」計算!$AL$37:$AX$37,◆入力◆④「1個放水」計算!$AL$42:$AX$42),IF($U37="逆止弁",LOOKUP($I38,◆入力◆④「1個放水」計算!$AL$37:$AX$37,◆入力◆④「1個放水」計算!$AL$43:$AX$43),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H37" s="86">
        <f>IF($U37="仕切弁",LOOKUP($I38,◆入力◆④「1個放水」計算!$AL$48:$AX$48,◆入力◆④「1個放水」計算!$AL$53:$AX$53),IF($U37="逆止弁",LOOKUP($I38,◆入力◆④「1個放水」計算!$AL$48:$AX$48,◆入力◆④「1個放水」計算!$AL$54:$AX$54),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I37" s="86">
        <f>IF($U37="仕切弁",LOOKUP($I38,◆入力◆④「1個放水」計算!$AL$59:$AX$59,◆入力◆④「1個放水」計算!$AL$65:$AX$65),IF($U37="逆止弁",LOOKUP($I38,◆入力◆④「1個放水」計算!$AL$59:$AX$59,◆入力◆④「1個放水」計算!$AL$66:$AX$66),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J37" s="115"/>
      <c r="AK37" s="57" t="s">
        <v>75</v>
      </c>
      <c r="AL37" s="58">
        <v>15</v>
      </c>
      <c r="AM37" s="58">
        <v>20</v>
      </c>
      <c r="AN37" s="58">
        <v>25</v>
      </c>
      <c r="AO37" s="58">
        <v>32</v>
      </c>
      <c r="AP37" s="58">
        <v>40</v>
      </c>
      <c r="AQ37" s="58">
        <v>50</v>
      </c>
      <c r="AR37" s="58">
        <v>65</v>
      </c>
      <c r="AS37" s="58">
        <v>80</v>
      </c>
      <c r="AT37" s="58">
        <v>100</v>
      </c>
      <c r="AU37" s="58">
        <v>125</v>
      </c>
      <c r="AV37" s="58">
        <v>150</v>
      </c>
      <c r="AW37" s="58">
        <v>200</v>
      </c>
      <c r="AX37" s="58">
        <v>250</v>
      </c>
      <c r="AY37" s="40"/>
      <c r="AZ37" s="40"/>
      <c r="BA37" s="40"/>
      <c r="BB37" s="180"/>
      <c r="BC37" s="40"/>
      <c r="BD37" s="40"/>
      <c r="BE37" s="40"/>
      <c r="BF37" s="40"/>
      <c r="BG37" s="40"/>
      <c r="BK37" s="40"/>
      <c r="BL37" s="40"/>
      <c r="BM37" s="40"/>
      <c r="BN37" s="40"/>
      <c r="BO37" s="40"/>
      <c r="BP37" s="40"/>
      <c r="BQ37" s="40"/>
      <c r="BR37" s="40"/>
      <c r="BS37" s="40"/>
      <c r="BT37" s="40"/>
    </row>
    <row r="38" spans="6:72" x14ac:dyDescent="0.15">
      <c r="F38" s="235"/>
      <c r="G38" s="40"/>
      <c r="H38" s="186">
        <f>IF(H37=10,"⑩－⑪",IF(H37=9,"⑨－⑩",0))</f>
        <v>0</v>
      </c>
      <c r="I38" s="170"/>
      <c r="J38" s="40"/>
      <c r="K38" s="134" t="str">
        <f>IF(I38="","",K35)</f>
        <v/>
      </c>
      <c r="L38" s="74">
        <f>IF(I38="",0,IF(I38&gt;=65,K38^1.85*0.012/I39^4.87,ROUNDUP((0.0126+(0.01739-(0.1087*I39/100))/SQRT(4*K38/(60000*PI()*(I39/100)^2)))*(1/(I39/100))*((4*K38/(60000*PI()*(I39/100)^2))^2/(2*9.8)),4)))</f>
        <v>0</v>
      </c>
      <c r="M38" s="172"/>
      <c r="N38" s="84">
        <f>ROUNDUP(L38*M38,2)</f>
        <v>0</v>
      </c>
      <c r="O38" s="87" t="str">
        <f>IF(I38="","","Ｔ直")</f>
        <v/>
      </c>
      <c r="P38" s="174"/>
      <c r="Q38" s="88">
        <f>IF(I38=0,0,IF(I37="SGP-VB",LOOKUP(I38,◆入力◆④「1個放水」計算!$AL$4:$AX$4,◆入力◆④「1個放水」計算!$AL$7:$AX$7),IF(I37="SGP-PB",LOOKUP(I38,◆入力◆④「1個放水」計算!$AL$15:$AX$15,◆入力◆④「1個放水」計算!$AL$18:$AX$18),IF(I37="HIVP",LOOKUP(I38,◆入力◆④「1個放水」計算!$AL$26:$AX$26,◆入力◆④「1個放水」計算!$AL$29:$AX$29),IF(OR(I37="SGP",I37="フレキ"),LOOKUP(I38,◆入力◆④「1個放水」計算!$AL$37:$AX$37,◆入力◆④「1個放水」計算!$AL$40:$AX$40),IF(I37="SUS",LOOKUP(I38,◆入力◆④「1個放水」計算!$AL$48:$AX$48,◆入力◆④「1個放水」計算!$AL$51:$AX$51),IF(OR(I37="PE",I37="PP"),LOOKUP(I38,◆入力◆④「1個放水」計算!$AL$59:$AX$59,◆入力◆④「1個放水」計算!$AL$63:$AX$63))))))))</f>
        <v>0</v>
      </c>
      <c r="R38" s="82">
        <f t="shared" si="0"/>
        <v>0</v>
      </c>
      <c r="S38" s="83">
        <f>R37+R38+R39</f>
        <v>0</v>
      </c>
      <c r="T38" s="84">
        <f>ROUNDUP(L38*S38,2)</f>
        <v>0</v>
      </c>
      <c r="U38" s="177"/>
      <c r="V38" s="174"/>
      <c r="W38" s="82">
        <f>IF($U38="Yスト",AC38,IF($I37="sgp-vb",AD38,IF($I37="sgp-pb",AE38,IF($I37="hivp",AF38,IF(OR($I37="sgp",$I37="フレキ"),AG38,IF($I37="sus",AH38,IF(OR($I37="PE",$I37="PP"),AI38,0)))))))</f>
        <v>0</v>
      </c>
      <c r="X38" s="82">
        <f t="shared" si="1"/>
        <v>0</v>
      </c>
      <c r="Y38" s="83">
        <f>SUM(X37:X39)</f>
        <v>0</v>
      </c>
      <c r="Z38" s="84">
        <f t="shared" ref="Z38" si="26">IF(AND($U38="電動弁",$V38=1),LOOKUP($K38,$AL$77:$BQ$77,$AL$78:$BQ$78),IF(AND($U38="逆流防止装置E",$V38=1),LOOKUP($I38,$AN$106:$AR$106,$AN134:$AR134),IF(AND($U38="逆流防止装置K",$V38=1),LOOKUP($I38,$AN$106:$AR$106,$AN135:$AR135),IF(AND($U38="逆流防止装置T",$V38=1),LOOKUP($I38,$AN$106:$AR$106,$AN136:$AR136),0))))</f>
        <v>0</v>
      </c>
      <c r="AA38" s="40"/>
      <c r="AB38" s="84">
        <f>N38+T38+Z37+Z38+Z39</f>
        <v>0</v>
      </c>
      <c r="AC38" s="89">
        <f>IF(U38="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8" s="90">
        <f>IF($U38="仕切弁",LOOKUP($I38,◆入力◆④「1個放水」計算!$AL$4:$AX$4,◆入力◆④「1個放水」計算!$AL$9:$AX$9),IF($U38="逆止弁",LOOKUP($I38,◆入力◆④「1個放水」計算!$AL$4:$AX$4,◆入力◆④「1個放水」計算!$AL$10:$AX$10),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E38" s="90">
        <f>IF($U38="仕切弁",LOOKUP($I38,◆入力◆④「1個放水」計算!$AL$15:$AX$15,◆入力◆④「1個放水」計算!$AL$20:$AX$20),IF($U38="逆止弁",LOOKUP($I38,◆入力◆④「1個放水」計算!$AL$15:$AX$15,◆入力◆④「1個放水」計算!$AL$21:$AX$21),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F38" s="90">
        <f>IF($U38="仕切弁",LOOKUP($I38,◆入力◆④「1個放水」計算!$AL$26:$AX$26,◆入力◆④「1個放水」計算!$AL$31:$AX$31),IF($U38="逆止弁",LOOKUP($I38,◆入力◆④「1個放水」計算!$AL$26:$AX$26,◆入力◆④「1個放水」計算!$AL$32:$AX$32),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G38" s="90">
        <f>IF($U38="仕切弁",LOOKUP($I38,◆入力◆④「1個放水」計算!$AL$37:$AX$37,◆入力◆④「1個放水」計算!$AL$42:$AX$42),IF($U38="逆止弁",LOOKUP($I38,◆入力◆④「1個放水」計算!$AL$37:$AX$37,◆入力◆④「1個放水」計算!$AL$43:$AX$43),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H38" s="90">
        <f>IF($U38="仕切弁",LOOKUP($I38,◆入力◆④「1個放水」計算!$AL$48:$AX$48,◆入力◆④「1個放水」計算!$AL$53:$AX$53),IF($U38="逆止弁",LOOKUP($I38,◆入力◆④「1個放水」計算!$AL$48:$AX$48,◆入力◆④「1個放水」計算!$AL$54:$AX$54),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I38" s="90">
        <f>IF($U38="仕切弁",LOOKUP($I38,◆入力◆④「1個放水」計算!$AL$59:$AX$59,◆入力◆④「1個放水」計算!$AL$65:$AX$65),IF($U38="逆止弁",LOOKUP($I38,◆入力◆④「1個放水」計算!$AL$59:$AX$59,◆入力◆④「1個放水」計算!$AL$66:$AX$66),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J38" s="115"/>
      <c r="AK38" s="57" t="s">
        <v>76</v>
      </c>
      <c r="AL38" s="63">
        <v>1.61</v>
      </c>
      <c r="AM38" s="63">
        <v>2.16</v>
      </c>
      <c r="AN38" s="63">
        <v>2.76</v>
      </c>
      <c r="AO38" s="63">
        <v>3.57</v>
      </c>
      <c r="AP38" s="63">
        <v>4.16</v>
      </c>
      <c r="AQ38" s="63">
        <v>5.29</v>
      </c>
      <c r="AR38" s="63">
        <v>6.79</v>
      </c>
      <c r="AS38" s="63">
        <v>8.07</v>
      </c>
      <c r="AT38" s="63">
        <v>10.53</v>
      </c>
      <c r="AU38" s="63">
        <v>13.08</v>
      </c>
      <c r="AV38" s="63">
        <v>15.52</v>
      </c>
      <c r="AW38" s="63">
        <v>20.47</v>
      </c>
      <c r="AX38" s="63">
        <v>25.42</v>
      </c>
      <c r="AY38" s="40"/>
      <c r="AZ38" s="40"/>
      <c r="BA38" s="40"/>
      <c r="BB38" s="180"/>
      <c r="BC38" s="40"/>
      <c r="BD38" s="40"/>
      <c r="BE38" s="40"/>
      <c r="BF38" s="40"/>
      <c r="BG38" s="40"/>
      <c r="BK38" s="40"/>
      <c r="BL38" s="40"/>
      <c r="BM38" s="40"/>
      <c r="BN38" s="40"/>
      <c r="BO38" s="40"/>
      <c r="BP38" s="40"/>
      <c r="BQ38" s="40"/>
      <c r="BR38" s="40"/>
      <c r="BS38" s="40"/>
      <c r="BT38" s="40"/>
    </row>
    <row r="39" spans="6:72" x14ac:dyDescent="0.15">
      <c r="F39" s="235"/>
      <c r="G39" s="40"/>
      <c r="H39" s="149"/>
      <c r="I39" s="91">
        <f>IF(I38="",0,IF(I37="SGP-VB",LOOKUP(I38,◆入力◆④「1個放水」計算!$AL$4:$AX$4,◆入力◆④「1個放水」計算!$AL$5:$AX$5),IF(I37="SGP-PB",LOOKUP(I38,◆入力◆④「1個放水」計算!$AL$15:$AX$15,◆入力◆④「1個放水」計算!$AL$16:$AX$16),IF(I37="HIVP",LOOKUP(I38,◆入力◆④「1個放水」計算!$AL$26:$AX$26,◆入力◆④「1個放水」計算!$AL$27:$AX$27),IF(OR(I37="SGP",I37="フレキ"),LOOKUP(I38,◆入力◆④「1個放水」計算!$AL$37:$AX$37,◆入力◆④「1個放水」計算!$AL$38:$AX$38),IF(I37="SUS",LOOKUP(I38,◆入力◆④「1個放水」計算!$AL$48:$AX$48,◆入力◆④「1個放水」計算!$AL$49:$AX$49),IF(OR(I37="PE",I37="PP"),LOOKUP(I38,◆入力◆④「1個放水」計算!$AL$59:$AX$59,◆入力◆④「1個放水」計算!$AL$60:$AX$60))))))))</f>
        <v>0</v>
      </c>
      <c r="J39" s="40"/>
      <c r="K39" s="150"/>
      <c r="L39" s="98"/>
      <c r="M39" s="99"/>
      <c r="N39" s="93"/>
      <c r="O39" s="87" t="str">
        <f>IF(I38="","","Ｔ分")</f>
        <v/>
      </c>
      <c r="P39" s="175"/>
      <c r="Q39" s="88">
        <f>IF(I38=0,0,IF(I37="SGP-VB",LOOKUP(I38,◆入力◆④「1個放水」計算!$AL$4:$AX$4,◆入力◆④「1個放水」計算!$AL$8:$AX$8),IF(I37="SGP-PB",LOOKUP(I38,◆入力◆④「1個放水」計算!$AL$15:$AX$15,◆入力◆④「1個放水」計算!$AL$19:$AX$19),IF(I37="HIVP",LOOKUP(I38,◆入力◆④「1個放水」計算!$AL$26:$AX$26,◆入力◆④「1個放水」計算!$AL$30:$AX$30),IF(OR(I37="SGP",I37="フレキ"),LOOKUP(I38,◆入力◆④「1個放水」計算!$AL$37:$AX$37,◆入力◆④「1個放水」計算!$AL$41:$AX$41),IF(I37="SUS",LOOKUP(I38,◆入力◆④「1個放水」計算!$AL$48:$AX$48,◆入力◆④「1個放水」計算!$AL$52:$AX$52),IF(OR(I37="PE",I37="PP"),LOOKUP(I38,◆入力◆④「1個放水」計算!$AL$59:$AX$59,◆入力◆④「1個放水」計算!$AL$64:$AX$64))))))))</f>
        <v>0</v>
      </c>
      <c r="R39" s="100">
        <f t="shared" si="0"/>
        <v>0</v>
      </c>
      <c r="S39" s="101"/>
      <c r="T39" s="92"/>
      <c r="U39" s="178"/>
      <c r="V39" s="175"/>
      <c r="W39" s="100">
        <f>IF($U39="Yスト",AC39,IF($I37="sgp-vb",AD39,IF($I37="sgp-pb",AE39,IF($I37="hivp",AF39,IF(OR($I37="sgp",$I37="フレキ"),AG39,IF($I37="sus",AH39,IF(OR($I37="PE",$I37="PP"),AI39,0)))))))</f>
        <v>0</v>
      </c>
      <c r="X39" s="100">
        <f t="shared" si="1"/>
        <v>0</v>
      </c>
      <c r="Y39" s="101"/>
      <c r="Z39" s="92">
        <f t="shared" ref="Z39" si="27">ROUNDUP(L38*Y38,2)</f>
        <v>0</v>
      </c>
      <c r="AA39" s="40"/>
      <c r="AB39" s="76"/>
      <c r="AC39" s="90">
        <f>IF(U39="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9" s="90">
        <f>IF($U39="仕切弁",LOOKUP($I38,◆入力◆④「1個放水」計算!$AL$4:$AX$4,◆入力◆④「1個放水」計算!$AL$9:$AX$9),IF($U39="逆止弁",LOOKUP($I38,◆入力◆④「1個放水」計算!$AL$4:$AX$4,◆入力◆④「1個放水」計算!$AL$10:$AX$10),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E39" s="90">
        <f>IF($U39="仕切弁",LOOKUP($I38,◆入力◆④「1個放水」計算!$AL$15:$AX$15,◆入力◆④「1個放水」計算!$AL$20:$AX$20),IF($U39="逆止弁",LOOKUP($I38,◆入力◆④「1個放水」計算!$AL$15:$AX$15,◆入力◆④「1個放水」計算!$AL$21:$AX$21),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F39" s="90">
        <f>IF($U39="仕切弁",LOOKUP($I38,◆入力◆④「1個放水」計算!$AL$26:$AX$26,◆入力◆④「1個放水」計算!$AL$31:$AX$31),IF($U39="逆止弁",LOOKUP($I38,◆入力◆④「1個放水」計算!$AL$26:$AX$26,◆入力◆④「1個放水」計算!$AL$32:$AX$32),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G39" s="90">
        <f>IF($U39="仕切弁",LOOKUP($I38,◆入力◆④「1個放水」計算!$AL$37:$AX$37,◆入力◆④「1個放水」計算!$AL$42:$AX$42),IF($U39="逆止弁",LOOKUP($I38,◆入力◆④「1個放水」計算!$AL$37:$AX$37,◆入力◆④「1個放水」計算!$AL$43:$AX$43),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H39" s="90">
        <f>IF($U39="仕切弁",LOOKUP($I38,◆入力◆④「1個放水」計算!$AL$48:$AX$48,◆入力◆④「1個放水」計算!$AL$53:$AX$53),IF($U39="逆止弁",LOOKUP($I38,◆入力◆④「1個放水」計算!$AL$48:$AX$48,◆入力◆④「1個放水」計算!$AL$54:$AX$54),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I39" s="90">
        <f>IF($U39="仕切弁",LOOKUP($I38,◆入力◆④「1個放水」計算!$AL$59:$AX$59,◆入力◆④「1個放水」計算!$AL$65:$AX$65),IF($U39="逆止弁",LOOKUP($I38,◆入力◆④「1個放水」計算!$AL$59:$AX$59,◆入力◆④「1個放水」計算!$AL$66:$AX$66),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J39" s="115"/>
      <c r="AK39" s="57" t="s">
        <v>4</v>
      </c>
      <c r="AL39" s="63">
        <v>0.6</v>
      </c>
      <c r="AM39" s="63">
        <v>0.75</v>
      </c>
      <c r="AN39" s="63">
        <v>0.9</v>
      </c>
      <c r="AO39" s="63">
        <v>1.2</v>
      </c>
      <c r="AP39" s="63">
        <v>1.5</v>
      </c>
      <c r="AQ39" s="63">
        <v>2.1</v>
      </c>
      <c r="AR39" s="63">
        <v>2.4</v>
      </c>
      <c r="AS39" s="63">
        <v>3</v>
      </c>
      <c r="AT39" s="63">
        <v>4.2</v>
      </c>
      <c r="AU39" s="63">
        <v>5.0999999999999996</v>
      </c>
      <c r="AV39" s="63">
        <v>6</v>
      </c>
      <c r="AW39" s="63">
        <v>6.5</v>
      </c>
      <c r="AX39" s="63">
        <v>8</v>
      </c>
      <c r="AY39" s="40"/>
      <c r="AZ39" s="40"/>
      <c r="BA39" s="40"/>
      <c r="BB39" s="180"/>
      <c r="BC39" s="40"/>
      <c r="BD39" s="40"/>
      <c r="BE39" s="40"/>
      <c r="BF39" s="40"/>
      <c r="BG39" s="40"/>
      <c r="BK39" s="40"/>
      <c r="BL39" s="40"/>
      <c r="BM39" s="40"/>
      <c r="BN39" s="40"/>
      <c r="BO39" s="40"/>
      <c r="BP39" s="40"/>
      <c r="BQ39" s="40"/>
      <c r="BR39" s="40"/>
      <c r="BS39" s="40"/>
      <c r="BT39" s="40"/>
    </row>
    <row r="40" spans="6:72" x14ac:dyDescent="0.15">
      <c r="F40" s="235" t="s">
        <v>31</v>
      </c>
      <c r="G40" s="40"/>
      <c r="H40" s="168"/>
      <c r="I40" s="189" t="str">
        <f>IF(H40="","",◆入力◆①配管容量!$M$3)</f>
        <v/>
      </c>
      <c r="J40" s="40"/>
      <c r="K40" s="134"/>
      <c r="L40" s="74"/>
      <c r="M40" s="75"/>
      <c r="N40" s="76"/>
      <c r="O40" s="77" t="str">
        <f>IF(I41="","","E９０°")</f>
        <v/>
      </c>
      <c r="P40" s="173"/>
      <c r="Q40" s="79">
        <f>IF(I41=0,0,IF(I40="SGP-VB",LOOKUP(I41,◆入力◆④「1個放水」計算!$AL$4:$AX$4,◆入力◆④「1個放水」計算!$AL$6:$AX$6),IF(I40="SGP-PB",LOOKUP(I41,◆入力◆④「1個放水」計算!$AL$15:$AX$15,◆入力◆④「1個放水」計算!$AL$17:$AX$17),IF(I40="HIVP",LOOKUP(I41,◆入力◆④「1個放水」計算!$AL$26:$AX$26,◆入力◆④「1個放水」計算!$AL$28:$AX$28),IF(OR(I40="SGP",I40="フレキ"),LOOKUP(I41,◆入力◆④「1個放水」計算!$AL$37:$AX$37,◆入力◆④「1個放水」計算!$AL$39:$AX$39),IF(I40="SUS",LOOKUP(I41,◆入力◆④「1個放水」計算!$AL$48:$AX$48,◆入力◆④「1個放水」計算!$AL$50:$AX$50),IF(OR(I40="PE",I40="PP"),LOOKUP(I41,◆入力◆④「1個放水」計算!$AL$59:$AX$59,◆入力◆④「1個放水」計算!$AL$61:$AX$61))))))))</f>
        <v>0</v>
      </c>
      <c r="R40" s="79">
        <f t="shared" si="0"/>
        <v>0</v>
      </c>
      <c r="S40" s="80"/>
      <c r="T40" s="81">
        <v>0</v>
      </c>
      <c r="U40" s="176"/>
      <c r="V40" s="174"/>
      <c r="W40" s="82">
        <f>IF($U40="Yスト",AC40,IF($I40="sgp-vb",AD40,IF($I40="sgp-pb",AE40,IF($I40="hivp",AF40,IF(OR($I40="sgp",$I40="フレキ"),AG40,IF($I40="sus",AH40,IF(OR($I40="PE",$I40="PP"),AI40,0)))))))</f>
        <v>0</v>
      </c>
      <c r="X40" s="82">
        <f t="shared" si="1"/>
        <v>0</v>
      </c>
      <c r="Y40" s="83"/>
      <c r="Z40" s="84">
        <f t="shared" ref="Z40" si="28">IF(AND($U40="電動弁",$V40=1),LOOKUP($K41,$AL$77:$BQ$77,$AL$78:$BQ$78),IF(AND($U40="逆流防止装置E",$V40=1),LOOKUP($I41,$AN$106:$AR$106,$AN137:$AR137),IF(AND($U40="逆流防止装置K",$V40=1),LOOKUP($I41,$AN$106:$AR$106,$AN138:$AR138),IF(AND($U40="逆流防止装置T",$V40=1),LOOKUP($I41,$AN$106:$AR$106,$AN139:$AR139),0))))</f>
        <v>0</v>
      </c>
      <c r="AA40" s="40"/>
      <c r="AB40" s="85"/>
      <c r="AC40" s="86">
        <f>IF(U40="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0" s="86">
        <f>IF($U40="仕切弁",LOOKUP($I41,◆入力◆④「1個放水」計算!$AL$4:$AX$4,◆入力◆④「1個放水」計算!$AL$9:$AX$9),IF($U40="逆止弁",LOOKUP($I41,◆入力◆④「1個放水」計算!$AL$4:$AX$4,◆入力◆④「1個放水」計算!$AL$10:$AX$10),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E40" s="86">
        <f>IF($U40="仕切弁",LOOKUP($I41,◆入力◆④「1個放水」計算!$AL$15:$AX$15,◆入力◆④「1個放水」計算!$AL$20:$AX$20),IF($U40="逆止弁",LOOKUP($I41,◆入力◆④「1個放水」計算!$AL$15:$AX$15,◆入力◆④「1個放水」計算!$AL$21:$AX$21),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F40" s="86">
        <f>IF($U40="仕切弁",LOOKUP($I41,◆入力◆④「1個放水」計算!$AL$26:$AX$26,◆入力◆④「1個放水」計算!$AL$31:$AX$31),IF($U40="逆止弁",LOOKUP($I41,◆入力◆④「1個放水」計算!$AL$26:$AX$26,◆入力◆④「1個放水」計算!$AL$32:$AX$32),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G40" s="86">
        <f>IF($U40="仕切弁",LOOKUP($I41,◆入力◆④「1個放水」計算!$AL$37:$AX$37,◆入力◆④「1個放水」計算!$AL$42:$AX$42),IF($U40="逆止弁",LOOKUP($I41,◆入力◆④「1個放水」計算!$AL$37:$AX$37,◆入力◆④「1個放水」計算!$AL$43:$AX$43),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H40" s="86">
        <f>IF($U40="仕切弁",LOOKUP($I41,◆入力◆④「1個放水」計算!$AL$48:$AX$48,◆入力◆④「1個放水」計算!$AL$53:$AX$53),IF($U40="逆止弁",LOOKUP($I41,◆入力◆④「1個放水」計算!$AL$48:$AX$48,◆入力◆④「1個放水」計算!$AL$54:$AX$54),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I40" s="86">
        <f>IF($U40="仕切弁",LOOKUP($I41,◆入力◆④「1個放水」計算!$AL$59:$AX$59,◆入力◆④「1個放水」計算!$AL$65:$AX$65),IF($U40="逆止弁",LOOKUP($I41,◆入力◆④「1個放水」計算!$AL$59:$AX$59,◆入力◆④「1個放水」計算!$AL$66:$AX$66),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J40" s="115"/>
      <c r="AK40" s="57" t="s">
        <v>38</v>
      </c>
      <c r="AL40" s="63">
        <v>0.18</v>
      </c>
      <c r="AM40" s="63">
        <v>0.24</v>
      </c>
      <c r="AN40" s="63">
        <v>0.27</v>
      </c>
      <c r="AO40" s="63">
        <v>0.36</v>
      </c>
      <c r="AP40" s="63">
        <v>0.45</v>
      </c>
      <c r="AQ40" s="63">
        <v>0.6</v>
      </c>
      <c r="AR40" s="63">
        <v>0.75</v>
      </c>
      <c r="AS40" s="63">
        <v>0.9</v>
      </c>
      <c r="AT40" s="63">
        <v>1.2</v>
      </c>
      <c r="AU40" s="63">
        <v>1.5</v>
      </c>
      <c r="AV40" s="63">
        <v>1.8</v>
      </c>
      <c r="AW40" s="63">
        <v>4</v>
      </c>
      <c r="AX40" s="63">
        <v>5</v>
      </c>
      <c r="AY40" s="40"/>
      <c r="AZ40" s="40"/>
      <c r="BA40" s="40"/>
      <c r="BB40" s="180"/>
      <c r="BC40" s="40"/>
      <c r="BD40" s="40"/>
      <c r="BE40" s="40"/>
      <c r="BF40" s="40"/>
      <c r="BG40" s="40"/>
      <c r="BK40" s="40"/>
      <c r="BL40" s="40"/>
      <c r="BM40" s="40"/>
      <c r="BN40" s="40"/>
      <c r="BO40" s="40"/>
      <c r="BP40" s="40"/>
      <c r="BQ40" s="40"/>
      <c r="BR40" s="40"/>
      <c r="BS40" s="40"/>
      <c r="BT40" s="40"/>
    </row>
    <row r="41" spans="6:72" x14ac:dyDescent="0.15">
      <c r="F41" s="235"/>
      <c r="G41" s="40"/>
      <c r="H41" s="186">
        <f>IF(H40=11,"⑪－⑫",IF(H40=10,"⑩－⑪",0))</f>
        <v>0</v>
      </c>
      <c r="I41" s="170"/>
      <c r="J41" s="40"/>
      <c r="K41" s="134" t="str">
        <f>IF(I41="","",K38)</f>
        <v/>
      </c>
      <c r="L41" s="74">
        <f>IF(I41="",0,IF(I41&gt;=65,K41^1.85*0.012/I42^4.87,ROUNDUP((0.0126+(0.01739-(0.1087*I42/100))/SQRT(4*K41/(60000*PI()*(I42/100)^2)))*(1/(I42/100))*((4*K41/(60000*PI()*(I42/100)^2))^2/(2*9.8)),4)))</f>
        <v>0</v>
      </c>
      <c r="M41" s="172"/>
      <c r="N41" s="84">
        <f>ROUNDUP(L41*M41,2)</f>
        <v>0</v>
      </c>
      <c r="O41" s="87" t="str">
        <f>IF(I41="","","Ｔ直")</f>
        <v/>
      </c>
      <c r="P41" s="174"/>
      <c r="Q41" s="82">
        <f>IF(I41=0,0,IF(I40="SGP-VB",LOOKUP(I41,◆入力◆④「1個放水」計算!$AL$4:$AX$4,◆入力◆④「1個放水」計算!$AL$7:$AX$7),IF(I40="SGP-PB",LOOKUP(I41,◆入力◆④「1個放水」計算!$AL$15:$AX$15,◆入力◆④「1個放水」計算!$AL$18:$AX$18),IF(I40="HIVP",LOOKUP(I41,◆入力◆④「1個放水」計算!$AL$26:$AX$26,◆入力◆④「1個放水」計算!$AL$29:$AX$29),IF(OR(I40="SGP",I40="フレキ"),LOOKUP(I41,◆入力◆④「1個放水」計算!$AL$37:$AX$37,◆入力◆④「1個放水」計算!$AL$40:$AX$40),IF(I40="SUS",LOOKUP(I41,◆入力◆④「1個放水」計算!$AL$48:$AX$48,◆入力◆④「1個放水」計算!$AL$51:$AX$51),IF(OR(I40="PE",I40="PP"),LOOKUP(I41,◆入力◆④「1個放水」計算!$AL$59:$AX$59,◆入力◆④「1個放水」計算!$AL$63:$AX$63))))))))</f>
        <v>0</v>
      </c>
      <c r="R41" s="82">
        <f t="shared" si="0"/>
        <v>0</v>
      </c>
      <c r="S41" s="83">
        <f>R40+R41+R42</f>
        <v>0</v>
      </c>
      <c r="T41" s="84">
        <f>ROUNDUP(L41*S41,2)</f>
        <v>0</v>
      </c>
      <c r="U41" s="177"/>
      <c r="V41" s="174"/>
      <c r="W41" s="82">
        <f>IF($U41="Yスト",AC41,IF($I40="sgp-vb",AD41,IF($I40="sgp-pb",AE41,IF($I40="hivp",AF41,IF(OR($I40="sgp",$I40="フレキ"),AG41,IF($I40="sus",AH41,IF(OR($I40="PE",$I40="PP"),AI41,0)))))))</f>
        <v>0</v>
      </c>
      <c r="X41" s="82">
        <f t="shared" si="1"/>
        <v>0</v>
      </c>
      <c r="Y41" s="83">
        <f>SUM(X40:X42)</f>
        <v>0</v>
      </c>
      <c r="Z41" s="84">
        <f t="shared" ref="Z41" si="29">IF(AND($U41="電動弁",$V41=1),LOOKUP($K41,$AL$77:$BQ$77,$AL$78:$BQ$78),IF(AND($U41="逆流防止装置E",$V41=1),LOOKUP($I41,$AN$106:$AR$106,$AN137:$AR137),IF(AND($U41="逆流防止装置K",$V41=1),LOOKUP($I41,$AN$106:$AR$106,$AN138:$AR138),IF(AND($U41="逆流防止装置T",$V41=1),LOOKUP($I41,$AN$106:$AR$106,$AN139:$AR139),0))))</f>
        <v>0</v>
      </c>
      <c r="AA41" s="40"/>
      <c r="AB41" s="84">
        <f>N41+T41+Z40+Z41+Z42</f>
        <v>0</v>
      </c>
      <c r="AC41" s="89">
        <f>IF(U41="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1" s="90">
        <f>IF($U41="仕切弁",LOOKUP($I41,◆入力◆④「1個放水」計算!$AL$4:$AX$4,◆入力◆④「1個放水」計算!$AL$9:$AX$9),IF($U41="逆止弁",LOOKUP($I41,◆入力◆④「1個放水」計算!$AL$4:$AX$4,◆入力◆④「1個放水」計算!$AL$10:$AX$10),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E41" s="90">
        <f>IF($U41="仕切弁",LOOKUP($I41,◆入力◆④「1個放水」計算!$AL$15:$AX$15,◆入力◆④「1個放水」計算!$AL$20:$AX$20),IF($U41="逆止弁",LOOKUP($I41,◆入力◆④「1個放水」計算!$AL$15:$AX$15,◆入力◆④「1個放水」計算!$AL$21:$AX$21),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F41" s="90">
        <f>IF($U41="仕切弁",LOOKUP($I41,◆入力◆④「1個放水」計算!$AL$26:$AX$26,◆入力◆④「1個放水」計算!$AL$31:$AX$31),IF($U41="逆止弁",LOOKUP($I41,◆入力◆④「1個放水」計算!$AL$26:$AX$26,◆入力◆④「1個放水」計算!$AL$32:$AX$32),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G41" s="90">
        <f>IF($U41="仕切弁",LOOKUP($I41,◆入力◆④「1個放水」計算!$AL$37:$AX$37,◆入力◆④「1個放水」計算!$AL$42:$AX$42),IF($U41="逆止弁",LOOKUP($I41,◆入力◆④「1個放水」計算!$AL$37:$AX$37,◆入力◆④「1個放水」計算!$AL$43:$AX$43),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H41" s="90">
        <f>IF($U41="仕切弁",LOOKUP($I41,◆入力◆④「1個放水」計算!$AL$48:$AX$48,◆入力◆④「1個放水」計算!$AL$53:$AX$53),IF($U41="逆止弁",LOOKUP($I41,◆入力◆④「1個放水」計算!$AL$48:$AX$48,◆入力◆④「1個放水」計算!$AL$54:$AX$54),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I41" s="90">
        <f>IF($U41="仕切弁",LOOKUP($I41,◆入力◆④「1個放水」計算!$AL$59:$AX$59,◆入力◆④「1個放水」計算!$AL$65:$AX$65),IF($U41="逆止弁",LOOKUP($I41,◆入力◆④「1個放水」計算!$AL$59:$AX$59,◆入力◆④「1個放水」計算!$AL$66:$AX$66),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J41" s="115"/>
      <c r="AK41" s="57" t="s">
        <v>5</v>
      </c>
      <c r="AL41" s="63">
        <v>0.9</v>
      </c>
      <c r="AM41" s="63">
        <v>1.2</v>
      </c>
      <c r="AN41" s="63">
        <v>1.5</v>
      </c>
      <c r="AO41" s="63">
        <v>1.8</v>
      </c>
      <c r="AP41" s="63">
        <v>2.1</v>
      </c>
      <c r="AQ41" s="63">
        <v>3</v>
      </c>
      <c r="AR41" s="63">
        <v>3.6</v>
      </c>
      <c r="AS41" s="63">
        <v>4.5</v>
      </c>
      <c r="AT41" s="63">
        <v>6.3</v>
      </c>
      <c r="AU41" s="63">
        <v>7.5</v>
      </c>
      <c r="AV41" s="63">
        <v>9</v>
      </c>
      <c r="AW41" s="63">
        <v>14</v>
      </c>
      <c r="AX41" s="63">
        <v>20</v>
      </c>
      <c r="AY41" s="40"/>
      <c r="AZ41" s="40"/>
      <c r="BA41" s="40"/>
      <c r="BB41" s="180"/>
      <c r="BC41" s="40"/>
      <c r="BD41" s="40"/>
      <c r="BE41" s="40"/>
      <c r="BF41" s="40"/>
      <c r="BG41" s="40"/>
      <c r="BK41" s="40"/>
      <c r="BL41" s="40"/>
      <c r="BM41" s="40"/>
      <c r="BN41" s="40"/>
      <c r="BO41" s="40"/>
      <c r="BP41" s="40"/>
      <c r="BQ41" s="40"/>
      <c r="BR41" s="40"/>
      <c r="BS41" s="40"/>
      <c r="BT41" s="40"/>
    </row>
    <row r="42" spans="6:72" ht="15" thickBot="1" x14ac:dyDescent="0.2">
      <c r="F42" s="236"/>
      <c r="G42" s="40"/>
      <c r="H42" s="145"/>
      <c r="I42" s="91">
        <f>IF(I41="",0,IF(I40="SGP-VB",LOOKUP(I41,◆入力◆④「1個放水」計算!$AL$4:$AX$4,◆入力◆④「1個放水」計算!$AL$5:$AX$5),IF(I40="SGP-PB",LOOKUP(I41,◆入力◆④「1個放水」計算!$AL$15:$AX$15,◆入力◆④「1個放水」計算!$AL$16:$AX$16),IF(I40="HIVP",LOOKUP(I41,◆入力◆④「1個放水」計算!$AL$26:$AX$26,◆入力◆④「1個放水」計算!$AL$27:$AX$27),IF(OR(I40="SGP",I40="フレキ"),LOOKUP(I41,◆入力◆④「1個放水」計算!$AL$37:$AX$37,◆入力◆④「1個放水」計算!$AL$38:$AX$38),IF(I40="SUS",LOOKUP(I41,◆入力◆④「1個放水」計算!$AL$48:$AX$48,◆入力◆④「1個放水」計算!$AL$49:$AX$49),IF(OR(I40="PE",I40="PP"),LOOKUP(I41,◆入力◆④「1個放水」計算!$AL$59:$AX$59,◆入力◆④「1個放水」計算!$AL$60:$AX$60))))))))</f>
        <v>0</v>
      </c>
      <c r="J42" s="40"/>
      <c r="K42" s="97"/>
      <c r="L42" s="98"/>
      <c r="M42" s="99"/>
      <c r="N42" s="110"/>
      <c r="O42" s="111" t="str">
        <f>IF(I41="","","Ｔ分")</f>
        <v/>
      </c>
      <c r="P42" s="175"/>
      <c r="Q42" s="100">
        <f>IF(I41=0,0,IF(I40="SGP-VB",LOOKUP(I41,◆入力◆④「1個放水」計算!$AL$4:$AX$4,◆入力◆④「1個放水」計算!$AL$8:$AX$8),IF(I40="SGP-PB",LOOKUP(I41,◆入力◆④「1個放水」計算!$AL$15:$AX$15,◆入力◆④「1個放水」計算!$AL$19:$AX$19),IF(I40="HIVP",LOOKUP(I41,◆入力◆④「1個放水」計算!$AL$26:$AX$26,◆入力◆④「1個放水」計算!$AL$30:$AX$30),IF(OR(I40="SGP",I40="フレキ"),LOOKUP(I41,◆入力◆④「1個放水」計算!$AL$37:$AX$37,◆入力◆④「1個放水」計算!$AL$41:$AX$41),IF(I40="SUS",LOOKUP(I41,◆入力◆④「1個放水」計算!$AL$48:$AX$48,◆入力◆④「1個放水」計算!$AL$52:$AX$52),IF(OR(I40="PE",I40="PP"),LOOKUP(I41,◆入力◆④「1個放水」計算!$AL$59:$AX$59,◆入力◆④「1個放水」計算!$AL$64:$AX$64))))))))</f>
        <v>0</v>
      </c>
      <c r="R42" s="100">
        <f t="shared" si="0"/>
        <v>0</v>
      </c>
      <c r="S42" s="101"/>
      <c r="T42" s="112"/>
      <c r="U42" s="178"/>
      <c r="V42" s="175"/>
      <c r="W42" s="100">
        <f>IF($U42="Yスト",AC42,IF($I40="sgp-vb",AD42,IF($I40="sgp-pb",AE42,IF($I40="hivp",AF42,IF(OR($I40="sgp",$I40="フレキ"),AG42,IF($I40="sus",AH42,IF(OR($I40="PE",$I40="PP"),AI42,0)))))))</f>
        <v>0</v>
      </c>
      <c r="X42" s="100">
        <f t="shared" si="1"/>
        <v>0</v>
      </c>
      <c r="Y42" s="101"/>
      <c r="Z42" s="112">
        <f>ROUNDUP(L41*Y41,2)</f>
        <v>0</v>
      </c>
      <c r="AA42" s="40"/>
      <c r="AB42" s="110"/>
      <c r="AC42" s="113">
        <f>IF(U42="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2" s="114">
        <f>IF($U42="仕切弁",LOOKUP($I41,◆入力◆④「1個放水」計算!$AL$4:$AX$4,◆入力◆④「1個放水」計算!$AL$9:$AX$9),IF($U42="逆止弁",LOOKUP($I41,◆入力◆④「1個放水」計算!$AL$4:$AX$4,◆入力◆④「1個放水」計算!$AL$10:$AX$10),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E42" s="114">
        <f>IF($U42="仕切弁",LOOKUP($I41,◆入力◆④「1個放水」計算!$AL$15:$AX$15,◆入力◆④「1個放水」計算!$AL$20:$AX$20),IF($U42="逆止弁",LOOKUP($I41,◆入力◆④「1個放水」計算!$AL$15:$AX$15,◆入力◆④「1個放水」計算!$AL$21:$AX$21),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F42" s="114">
        <f>IF($U42="仕切弁",LOOKUP($I41,◆入力◆④「1個放水」計算!$AL$26:$AX$26,◆入力◆④「1個放水」計算!$AL$31:$AX$31),IF($U42="逆止弁",LOOKUP($I41,◆入力◆④「1個放水」計算!$AL$26:$AX$26,◆入力◆④「1個放水」計算!$AL$32:$AX$32),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G42" s="114">
        <f>IF($U42="仕切弁",LOOKUP($I41,◆入力◆④「1個放水」計算!$AL$37:$AX$37,◆入力◆④「1個放水」計算!$AL$42:$AX$42),IF($U42="逆止弁",LOOKUP($I41,◆入力◆④「1個放水」計算!$AL$37:$AX$37,◆入力◆④「1個放水」計算!$AL$43:$AX$43),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H42" s="114">
        <f>IF($U42="仕切弁",LOOKUP($I41,◆入力◆④「1個放水」計算!$AL$48:$AX$48,◆入力◆④「1個放水」計算!$AL$53:$AX$53),IF($U42="逆止弁",LOOKUP($I41,◆入力◆④「1個放水」計算!$AL$48:$AX$48,◆入力◆④「1個放水」計算!$AL$54:$AX$54),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I42" s="114">
        <f>IF($U42="仕切弁",LOOKUP($I41,◆入力◆④「1個放水」計算!$AL$59:$AX$59,◆入力◆④「1個放水」計算!$AL$65:$AX$65),IF($U42="逆止弁",LOOKUP($I41,◆入力◆④「1個放水」計算!$AL$59:$AX$59,◆入力◆④「1個放水」計算!$AL$66:$AX$66),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J42" s="115"/>
      <c r="AK42" s="57" t="s">
        <v>6</v>
      </c>
      <c r="AL42" s="63">
        <v>0.12</v>
      </c>
      <c r="AM42" s="63">
        <v>0.15</v>
      </c>
      <c r="AN42" s="63">
        <v>0.18</v>
      </c>
      <c r="AO42" s="63">
        <v>0.24</v>
      </c>
      <c r="AP42" s="63">
        <v>0.3</v>
      </c>
      <c r="AQ42" s="63">
        <v>0.39</v>
      </c>
      <c r="AR42" s="63">
        <v>0.48</v>
      </c>
      <c r="AS42" s="63">
        <v>0.63</v>
      </c>
      <c r="AT42" s="63">
        <v>0.81</v>
      </c>
      <c r="AU42" s="63">
        <v>0.99</v>
      </c>
      <c r="AV42" s="63">
        <v>1.2</v>
      </c>
      <c r="AW42" s="63">
        <v>1.4</v>
      </c>
      <c r="AX42" s="63">
        <v>1.7</v>
      </c>
      <c r="AY42" s="40"/>
      <c r="AZ42" s="40"/>
      <c r="BA42" s="40"/>
      <c r="BB42" s="180"/>
      <c r="BC42" s="40"/>
      <c r="BD42" s="40"/>
      <c r="BE42" s="40"/>
      <c r="BF42" s="40"/>
      <c r="BG42" s="40"/>
      <c r="BK42" s="40"/>
      <c r="BL42" s="40"/>
      <c r="BM42" s="40"/>
      <c r="BN42" s="40"/>
      <c r="BO42" s="40"/>
      <c r="BP42" s="40"/>
      <c r="BQ42" s="40"/>
      <c r="BR42" s="40"/>
      <c r="BS42" s="40"/>
      <c r="BT42" s="40"/>
    </row>
    <row r="43" spans="6:72" ht="15" thickBot="1" x14ac:dyDescent="0.2">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115"/>
      <c r="AF43" s="115"/>
      <c r="AG43" s="115"/>
      <c r="AH43" s="115"/>
      <c r="AI43" s="115"/>
      <c r="AJ43" s="115"/>
      <c r="AK43" s="57" t="s">
        <v>41</v>
      </c>
      <c r="AL43" s="63">
        <v>1.2</v>
      </c>
      <c r="AM43" s="63">
        <v>1.6</v>
      </c>
      <c r="AN43" s="63">
        <v>2</v>
      </c>
      <c r="AO43" s="63">
        <v>2.5</v>
      </c>
      <c r="AP43" s="63">
        <v>3.1</v>
      </c>
      <c r="AQ43" s="63">
        <v>4</v>
      </c>
      <c r="AR43" s="63">
        <v>4.5999999999999996</v>
      </c>
      <c r="AS43" s="63">
        <v>5.7</v>
      </c>
      <c r="AT43" s="63">
        <v>7.6</v>
      </c>
      <c r="AU43" s="63">
        <v>10</v>
      </c>
      <c r="AV43" s="63">
        <v>12</v>
      </c>
      <c r="AW43" s="63">
        <v>15</v>
      </c>
      <c r="AX43" s="63">
        <v>19</v>
      </c>
      <c r="AY43" s="40"/>
      <c r="AZ43" s="40"/>
      <c r="BA43" s="40"/>
      <c r="BB43" s="180"/>
      <c r="BC43" s="40"/>
      <c r="BD43" s="40"/>
      <c r="BE43" s="40"/>
      <c r="BF43" s="40"/>
      <c r="BG43" s="40"/>
      <c r="BK43" s="40"/>
      <c r="BL43" s="40"/>
      <c r="BM43" s="40"/>
      <c r="BN43" s="40"/>
      <c r="BO43" s="40"/>
      <c r="BP43" s="40"/>
      <c r="BQ43" s="40"/>
      <c r="BR43" s="40"/>
      <c r="BS43" s="40"/>
      <c r="BT43" s="40"/>
    </row>
    <row r="44" spans="6:72" ht="15" thickBot="1" x14ac:dyDescent="0.2">
      <c r="F44" s="40"/>
      <c r="G44" s="40"/>
      <c r="H44" s="64" t="s">
        <v>20</v>
      </c>
      <c r="I44" s="53"/>
      <c r="J44" s="40"/>
      <c r="K44" s="40"/>
      <c r="L44" s="40"/>
      <c r="M44" s="40"/>
      <c r="N44" s="116">
        <f>IF(OR(L46="h",L46="xs",L46="ｈ",L46="ｘｓ"),(N11+N14+N17+N20+N23+N26+N29+N32+N35+N38+N41)*1.1,N11+N14+N17+N20+N23+N26+N29+N32+N35+N38+N41)</f>
        <v>0</v>
      </c>
      <c r="O44" s="40"/>
      <c r="P44" s="40"/>
      <c r="Q44" s="40"/>
      <c r="R44" s="40"/>
      <c r="S44" s="40"/>
      <c r="T44" s="116">
        <f>IF(OR(L46="h",L46="xs",L46="ｈ",L46="ｘｓ"),(T10+T11+T14+T17+T20+T23+T26+T29+T32+T35+T38+T41)*1.1,T10+T11+T14+T17+T20+T23+T26+T29+T32+T35+T38+T41)</f>
        <v>0</v>
      </c>
      <c r="U44" s="40"/>
      <c r="V44" s="40"/>
      <c r="W44" s="40"/>
      <c r="X44" s="40"/>
      <c r="Y44" s="40"/>
      <c r="Z44" s="116">
        <f>SUM(Z10:Z42)</f>
        <v>0</v>
      </c>
      <c r="AA44" s="40"/>
      <c r="AB44" s="116">
        <f>N44+T44+Z44</f>
        <v>0</v>
      </c>
      <c r="AC44" s="88"/>
      <c r="AD44" s="40"/>
      <c r="AE44" s="40"/>
      <c r="AF44" s="40"/>
      <c r="AG44" s="40"/>
      <c r="AH44" s="40"/>
      <c r="AI44" s="40"/>
      <c r="AJ44" s="115"/>
      <c r="AK44" s="57" t="s">
        <v>42</v>
      </c>
      <c r="AL44" s="63">
        <v>1.38</v>
      </c>
      <c r="AM44" s="63">
        <v>2.1800000000000002</v>
      </c>
      <c r="AN44" s="63">
        <v>3</v>
      </c>
      <c r="AO44" s="63">
        <v>4.62</v>
      </c>
      <c r="AP44" s="63">
        <v>5.47</v>
      </c>
      <c r="AQ44" s="63">
        <v>8</v>
      </c>
      <c r="AR44" s="63">
        <v>11.45</v>
      </c>
      <c r="AS44" s="63">
        <v>14.11</v>
      </c>
      <c r="AT44" s="63">
        <v>21.62</v>
      </c>
      <c r="AU44" s="63">
        <v>31.57</v>
      </c>
      <c r="AV44" s="63">
        <v>41.17</v>
      </c>
      <c r="AW44" s="63">
        <v>54.83</v>
      </c>
      <c r="AX44" s="63">
        <v>70.37</v>
      </c>
      <c r="AY44" s="40"/>
      <c r="AZ44" s="40"/>
      <c r="BA44" s="40"/>
      <c r="BB44" s="180"/>
      <c r="BC44" s="40"/>
      <c r="BD44" s="40"/>
      <c r="BE44" s="40"/>
      <c r="BF44" s="40"/>
      <c r="BG44" s="40"/>
      <c r="BK44" s="40"/>
      <c r="BL44" s="40"/>
      <c r="BM44" s="40"/>
      <c r="BN44" s="40"/>
      <c r="BO44" s="40"/>
      <c r="BP44" s="40"/>
      <c r="BQ44" s="40"/>
      <c r="BR44" s="40"/>
      <c r="BS44" s="40"/>
      <c r="BT44" s="40"/>
    </row>
    <row r="45" spans="6:72" x14ac:dyDescent="0.15">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115"/>
      <c r="AY45" s="40"/>
      <c r="AZ45" s="40"/>
      <c r="BA45" s="40"/>
      <c r="BB45" s="180"/>
      <c r="BC45" s="40"/>
      <c r="BD45" s="40"/>
      <c r="BE45" s="40"/>
      <c r="BF45" s="40"/>
      <c r="BG45" s="40"/>
      <c r="BK45" s="40"/>
      <c r="BL45" s="40"/>
      <c r="BM45" s="40"/>
      <c r="BN45" s="40"/>
      <c r="BO45" s="40"/>
      <c r="BP45" s="40"/>
      <c r="BQ45" s="40"/>
      <c r="BR45" s="40"/>
      <c r="BS45" s="40"/>
      <c r="BT45" s="40"/>
    </row>
    <row r="46" spans="6:72" x14ac:dyDescent="0.15">
      <c r="F46" s="64" t="s">
        <v>32</v>
      </c>
      <c r="G46" s="66"/>
      <c r="H46" s="53"/>
      <c r="I46" s="127">
        <f>IF(L47="*1.1",ROUNDUP(AB44*1.1,2),IF(L47="＊１．１",ROUNDUP(AB44*1.1,2),IF(L47="*1.15",ROUNDUP(AB44*1.15,2),IF(L47="＊１．１５",ROUNDUP(AB44*1.15,2),AB44))))</f>
        <v>0</v>
      </c>
      <c r="J46" s="60"/>
      <c r="K46" s="362" t="s">
        <v>33</v>
      </c>
      <c r="L46" s="118" t="s">
        <v>43</v>
      </c>
      <c r="M46" s="54"/>
      <c r="N46" s="54"/>
      <c r="O46" s="40"/>
      <c r="P46" s="40"/>
      <c r="Q46" s="40"/>
      <c r="R46" s="40"/>
      <c r="S46" s="40"/>
      <c r="T46" s="40"/>
      <c r="U46" s="40"/>
      <c r="V46" s="40"/>
      <c r="W46" s="40"/>
      <c r="X46" s="40"/>
      <c r="Y46" s="40"/>
      <c r="Z46" s="40"/>
      <c r="AA46" s="40"/>
      <c r="AB46" s="40"/>
      <c r="AC46" s="40"/>
      <c r="AD46" s="40"/>
      <c r="AE46" s="40"/>
      <c r="AF46" s="40"/>
      <c r="AG46" s="40"/>
      <c r="AH46" s="40"/>
      <c r="AI46" s="40"/>
      <c r="AJ46" s="115"/>
      <c r="AY46" s="40"/>
      <c r="AZ46" s="40"/>
      <c r="BA46" s="40"/>
      <c r="BB46" s="180"/>
      <c r="BC46" s="40"/>
      <c r="BD46" s="40"/>
      <c r="BE46" s="40"/>
      <c r="BF46" s="40"/>
      <c r="BG46" s="40"/>
      <c r="BK46" s="40"/>
      <c r="BL46" s="40"/>
      <c r="BM46" s="40"/>
      <c r="BN46" s="40"/>
      <c r="BO46" s="40"/>
      <c r="BP46" s="40"/>
      <c r="BQ46" s="40"/>
      <c r="BR46" s="40"/>
      <c r="BS46" s="40"/>
      <c r="BT46" s="40"/>
    </row>
    <row r="47" spans="6:72" x14ac:dyDescent="0.15">
      <c r="F47" s="119" t="s">
        <v>49</v>
      </c>
      <c r="G47" s="54"/>
      <c r="H47" s="120"/>
      <c r="I47" s="128">
        <v>10</v>
      </c>
      <c r="J47" s="40"/>
      <c r="K47" s="362" t="s">
        <v>33</v>
      </c>
      <c r="L47" s="122">
        <f>IF(L46="S",0,IF(L46="Ｓ",0,IF(L46="F",0,IF(L46="Ｆ",0,IF(L46="*1.1","*1.1",IF(L46="＊１．１","*1.1",IF(L46="*1.15","*1.15",IF(L46="＊１．１５","*1.15",0))))))))</f>
        <v>0</v>
      </c>
      <c r="M47" s="54"/>
      <c r="N47" s="54"/>
      <c r="O47" s="40"/>
      <c r="P47" s="40"/>
      <c r="Q47" s="40"/>
      <c r="R47" s="40"/>
      <c r="S47" s="40"/>
      <c r="T47" s="40"/>
      <c r="U47" s="40"/>
      <c r="V47" s="40"/>
      <c r="W47" s="40"/>
      <c r="X47" s="40"/>
      <c r="Y47" s="40"/>
      <c r="Z47" s="40"/>
      <c r="AA47" s="40"/>
      <c r="AB47" s="40"/>
      <c r="AC47" s="40"/>
      <c r="AD47" s="40"/>
      <c r="AE47" s="40"/>
      <c r="AF47" s="40"/>
      <c r="AG47" s="40"/>
      <c r="AH47" s="40"/>
      <c r="AI47" s="40"/>
      <c r="AJ47" s="115"/>
      <c r="AK47" s="108" t="s">
        <v>86</v>
      </c>
      <c r="AL47" s="108"/>
      <c r="AM47" s="108"/>
      <c r="AN47" s="109" t="s">
        <v>87</v>
      </c>
      <c r="AY47" s="40"/>
      <c r="AZ47" s="40"/>
      <c r="BA47" s="40"/>
      <c r="BB47" s="180"/>
      <c r="BC47" s="40"/>
      <c r="BD47" s="40"/>
      <c r="BE47" s="40"/>
      <c r="BF47" s="40"/>
      <c r="BG47" s="40"/>
      <c r="BK47" s="40"/>
      <c r="BL47" s="40"/>
      <c r="BM47" s="40"/>
      <c r="BN47" s="40"/>
      <c r="BO47" s="40"/>
      <c r="BP47" s="40"/>
      <c r="BQ47" s="40"/>
      <c r="BR47" s="40"/>
      <c r="BS47" s="40"/>
      <c r="BT47" s="40"/>
    </row>
    <row r="48" spans="6:72" x14ac:dyDescent="0.15">
      <c r="F48" s="64" t="s">
        <v>34</v>
      </c>
      <c r="G48" s="66"/>
      <c r="H48" s="53"/>
      <c r="I48" s="368">
        <f>◆入力◆①配管容量!H47+◆入力◆①配管容量!J47</f>
        <v>0</v>
      </c>
      <c r="J48" s="60"/>
      <c r="K48" s="362" t="s">
        <v>33</v>
      </c>
      <c r="L48" s="40"/>
      <c r="M48" s="40"/>
      <c r="N48" s="40"/>
      <c r="O48" s="363"/>
      <c r="P48" s="40"/>
      <c r="Q48" s="123"/>
      <c r="R48" s="363"/>
      <c r="S48" s="40"/>
      <c r="T48" s="123"/>
      <c r="U48" s="54"/>
      <c r="V48" s="54"/>
      <c r="W48" s="123"/>
      <c r="X48" s="123"/>
      <c r="Y48" s="54"/>
      <c r="Z48" s="54"/>
      <c r="AA48" s="54"/>
      <c r="AB48" s="123"/>
      <c r="AC48" s="123"/>
      <c r="AD48" s="40"/>
      <c r="AE48" s="40"/>
      <c r="AF48" s="40"/>
      <c r="AG48" s="40"/>
      <c r="AH48" s="40"/>
      <c r="AI48" s="40"/>
      <c r="AJ48" s="115"/>
      <c r="AK48" s="57" t="s">
        <v>75</v>
      </c>
      <c r="AL48" s="58">
        <v>13</v>
      </c>
      <c r="AM48" s="58">
        <v>20</v>
      </c>
      <c r="AN48" s="58">
        <v>25</v>
      </c>
      <c r="AO48" s="58">
        <v>30</v>
      </c>
      <c r="AP48" s="58">
        <v>40</v>
      </c>
      <c r="AQ48" s="58">
        <v>50</v>
      </c>
      <c r="AR48" s="58"/>
      <c r="AS48" s="58"/>
      <c r="AT48" s="58"/>
      <c r="AU48" s="58"/>
      <c r="AV48" s="58"/>
      <c r="AW48" s="58"/>
      <c r="AX48" s="58"/>
      <c r="AY48" s="40"/>
      <c r="AZ48" s="40"/>
      <c r="BA48" s="40"/>
      <c r="BB48" s="180"/>
      <c r="BC48" s="40"/>
      <c r="BD48" s="40"/>
      <c r="BE48" s="40"/>
      <c r="BF48" s="40"/>
      <c r="BG48" s="40"/>
      <c r="BK48" s="40"/>
      <c r="BL48" s="40"/>
      <c r="BM48" s="40"/>
      <c r="BN48" s="40"/>
      <c r="BO48" s="40"/>
      <c r="BP48" s="40"/>
      <c r="BQ48" s="40"/>
      <c r="BR48" s="40"/>
      <c r="BS48" s="40"/>
      <c r="BT48" s="40"/>
    </row>
    <row r="49" spans="6:72" x14ac:dyDescent="0.15">
      <c r="F49" s="119" t="s">
        <v>35</v>
      </c>
      <c r="G49" s="54"/>
      <c r="H49" s="120"/>
      <c r="I49" s="129">
        <f>SUM(I46:I48)</f>
        <v>10</v>
      </c>
      <c r="J49" s="40"/>
      <c r="K49" s="362" t="s">
        <v>33</v>
      </c>
      <c r="L49" s="40"/>
      <c r="M49" s="40"/>
      <c r="N49" s="40"/>
      <c r="O49" s="40"/>
      <c r="P49" s="40"/>
      <c r="Q49" s="54"/>
      <c r="R49" s="54"/>
      <c r="S49" s="54"/>
      <c r="T49" s="54"/>
      <c r="U49" s="54"/>
      <c r="V49" s="54"/>
      <c r="W49" s="54"/>
      <c r="X49" s="54"/>
      <c r="Y49" s="54"/>
      <c r="Z49" s="54"/>
      <c r="AA49" s="54"/>
      <c r="AB49" s="40"/>
      <c r="AC49" s="40"/>
      <c r="AD49" s="40"/>
      <c r="AE49" s="40"/>
      <c r="AF49" s="40"/>
      <c r="AG49" s="40"/>
      <c r="AH49" s="40"/>
      <c r="AI49" s="40"/>
      <c r="AJ49" s="115"/>
      <c r="AK49" s="57" t="s">
        <v>76</v>
      </c>
      <c r="AL49" s="63">
        <v>1.4279999999999999</v>
      </c>
      <c r="AM49" s="63">
        <v>2.0219999999999998</v>
      </c>
      <c r="AN49" s="63">
        <v>2.6579999999999999</v>
      </c>
      <c r="AO49" s="63">
        <v>3.16</v>
      </c>
      <c r="AP49" s="63">
        <v>4.03</v>
      </c>
      <c r="AQ49" s="63">
        <v>4.62</v>
      </c>
      <c r="AR49" s="63"/>
      <c r="AS49" s="63"/>
      <c r="AT49" s="63"/>
      <c r="AU49" s="63"/>
      <c r="AV49" s="63"/>
      <c r="AW49" s="63"/>
      <c r="AX49" s="63"/>
      <c r="AY49" s="40"/>
      <c r="AZ49" s="40"/>
      <c r="BA49" s="40"/>
      <c r="BB49" s="180"/>
      <c r="BC49" s="40"/>
      <c r="BD49" s="40"/>
      <c r="BE49" s="40"/>
      <c r="BF49" s="40"/>
      <c r="BG49" s="40"/>
      <c r="BK49" s="40"/>
      <c r="BL49" s="40"/>
      <c r="BM49" s="40"/>
      <c r="BN49" s="40"/>
      <c r="BO49" s="40"/>
      <c r="BP49" s="40"/>
      <c r="BQ49" s="40"/>
      <c r="BR49" s="40"/>
      <c r="BS49" s="40"/>
      <c r="BT49" s="40"/>
    </row>
    <row r="50" spans="6:72" x14ac:dyDescent="0.15">
      <c r="F50" s="64" t="s">
        <v>57</v>
      </c>
      <c r="G50" s="66"/>
      <c r="H50" s="53"/>
      <c r="I50" s="130">
        <v>1.1000000000000001</v>
      </c>
      <c r="J50" s="60"/>
      <c r="K50" s="362"/>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115"/>
      <c r="AK50" s="57" t="s">
        <v>4</v>
      </c>
      <c r="AL50" s="63">
        <v>0.6</v>
      </c>
      <c r="AM50" s="63">
        <v>0.75</v>
      </c>
      <c r="AN50" s="63">
        <v>0.9</v>
      </c>
      <c r="AO50" s="63">
        <v>1.2</v>
      </c>
      <c r="AP50" s="63">
        <v>1.5</v>
      </c>
      <c r="AQ50" s="63">
        <v>2.1</v>
      </c>
      <c r="AR50" s="63"/>
      <c r="AS50" s="63"/>
      <c r="AT50" s="63"/>
      <c r="AU50" s="63"/>
      <c r="AV50" s="63"/>
      <c r="AW50" s="63"/>
      <c r="AX50" s="63"/>
      <c r="AY50" s="40"/>
      <c r="AZ50" s="40"/>
      <c r="BA50" s="40"/>
      <c r="BB50" s="180"/>
      <c r="BC50" s="40"/>
      <c r="BD50" s="40"/>
      <c r="BE50" s="40"/>
      <c r="BF50" s="40"/>
      <c r="BG50" s="40"/>
      <c r="BK50" s="40"/>
      <c r="BL50" s="40"/>
      <c r="BM50" s="40"/>
      <c r="BN50" s="40"/>
      <c r="BO50" s="40"/>
      <c r="BP50" s="40"/>
      <c r="BQ50" s="40"/>
      <c r="BR50" s="40"/>
      <c r="BS50" s="40"/>
      <c r="BT50" s="40"/>
    </row>
    <row r="51" spans="6:72" x14ac:dyDescent="0.15">
      <c r="F51" s="406" t="s">
        <v>79</v>
      </c>
      <c r="G51" s="407"/>
      <c r="H51" s="408"/>
      <c r="I51" s="215">
        <f>ROUNDUP(I49*I50,2)</f>
        <v>11</v>
      </c>
      <c r="J51" s="60"/>
      <c r="K51" s="362" t="s">
        <v>80</v>
      </c>
      <c r="L51" s="40"/>
      <c r="M51" s="54"/>
      <c r="N51" s="54"/>
      <c r="O51" s="40"/>
      <c r="P51" s="40"/>
      <c r="Q51" s="40"/>
      <c r="R51" s="40"/>
      <c r="S51" s="40"/>
      <c r="T51" s="40"/>
      <c r="U51" s="40"/>
      <c r="V51" s="40"/>
      <c r="W51" s="40"/>
      <c r="X51" s="40"/>
      <c r="Y51" s="40"/>
      <c r="Z51" s="40"/>
      <c r="AA51" s="40"/>
      <c r="AB51" s="40"/>
      <c r="AC51" s="40"/>
      <c r="AD51" s="40"/>
      <c r="AE51" s="40"/>
      <c r="AF51" s="40"/>
      <c r="AG51" s="40"/>
      <c r="AH51" s="40"/>
      <c r="AI51" s="40"/>
      <c r="AJ51" s="115"/>
      <c r="AK51" s="57" t="s">
        <v>38</v>
      </c>
      <c r="AL51" s="63">
        <v>0.18</v>
      </c>
      <c r="AM51" s="63">
        <v>0.24</v>
      </c>
      <c r="AN51" s="63">
        <v>0.27</v>
      </c>
      <c r="AO51" s="63">
        <v>0.36</v>
      </c>
      <c r="AP51" s="63">
        <v>0.45</v>
      </c>
      <c r="AQ51" s="63">
        <v>0.6</v>
      </c>
      <c r="AR51" s="63"/>
      <c r="AS51" s="63"/>
      <c r="AT51" s="63"/>
      <c r="AU51" s="63"/>
      <c r="AV51" s="63"/>
      <c r="AW51" s="63"/>
      <c r="AX51" s="63"/>
      <c r="AY51" s="40"/>
      <c r="AZ51" s="40"/>
      <c r="BA51" s="40"/>
      <c r="BB51" s="180"/>
      <c r="BC51" s="40"/>
      <c r="BD51" s="40"/>
      <c r="BE51" s="40"/>
      <c r="BF51" s="40"/>
      <c r="BG51" s="40"/>
      <c r="BK51" s="40"/>
      <c r="BL51" s="40"/>
      <c r="BM51" s="40"/>
      <c r="BN51" s="40"/>
      <c r="BO51" s="40"/>
      <c r="BP51" s="40"/>
      <c r="BQ51" s="40"/>
      <c r="BR51" s="40"/>
      <c r="BS51" s="40"/>
      <c r="BT51" s="40"/>
    </row>
    <row r="52" spans="6:72" ht="14.25" customHeight="1" x14ac:dyDescent="0.15">
      <c r="F52" s="40"/>
      <c r="G52" s="40"/>
      <c r="H52" s="40"/>
      <c r="I52" s="123"/>
      <c r="J52" s="40"/>
      <c r="K52" s="56"/>
      <c r="L52" s="40"/>
      <c r="M52" s="54"/>
      <c r="N52" s="54"/>
      <c r="O52" s="40"/>
      <c r="P52" s="40"/>
      <c r="Q52" s="40"/>
      <c r="R52" s="40"/>
      <c r="S52" s="40"/>
      <c r="T52" s="40"/>
      <c r="U52" s="40"/>
      <c r="V52" s="40"/>
      <c r="W52" s="40"/>
      <c r="X52" s="40"/>
      <c r="Y52" s="40"/>
      <c r="Z52" s="40"/>
      <c r="AA52" s="40"/>
      <c r="AB52" s="40"/>
      <c r="AC52" s="40"/>
      <c r="AD52" s="40"/>
      <c r="AE52" s="40"/>
      <c r="AF52" s="40"/>
      <c r="AG52" s="40"/>
      <c r="AH52" s="40"/>
      <c r="AI52" s="40"/>
      <c r="AJ52" s="115"/>
      <c r="AK52" s="57" t="s">
        <v>5</v>
      </c>
      <c r="AL52" s="63">
        <v>0.9</v>
      </c>
      <c r="AM52" s="63">
        <v>1.2</v>
      </c>
      <c r="AN52" s="63">
        <v>1.5</v>
      </c>
      <c r="AO52" s="63">
        <v>1.8</v>
      </c>
      <c r="AP52" s="63">
        <v>2.1</v>
      </c>
      <c r="AQ52" s="63">
        <v>3</v>
      </c>
      <c r="AR52" s="63"/>
      <c r="AS52" s="63"/>
      <c r="AT52" s="63"/>
      <c r="AU52" s="63"/>
      <c r="AV52" s="63"/>
      <c r="AW52" s="63"/>
      <c r="AX52" s="63"/>
      <c r="AY52" s="40"/>
      <c r="AZ52" s="40"/>
      <c r="BA52" s="40"/>
      <c r="BB52" s="180"/>
      <c r="BC52" s="40"/>
      <c r="BD52" s="40"/>
      <c r="BE52" s="40"/>
      <c r="BF52" s="40"/>
      <c r="BG52" s="40"/>
      <c r="BK52" s="40"/>
      <c r="BL52" s="40"/>
      <c r="BM52" s="40"/>
      <c r="BN52" s="40"/>
      <c r="BO52" s="40"/>
      <c r="BP52" s="40"/>
      <c r="BQ52" s="40"/>
      <c r="BR52" s="40"/>
      <c r="BS52" s="40"/>
      <c r="BT52" s="40"/>
    </row>
    <row r="53" spans="6:72" x14ac:dyDescent="0.15">
      <c r="F53" s="409" t="s">
        <v>50</v>
      </c>
      <c r="G53" s="415"/>
      <c r="H53" s="416"/>
      <c r="I53" s="215">
        <f>ROUNDUP(I51/100,2)</f>
        <v>0.11</v>
      </c>
      <c r="J53" s="60"/>
      <c r="K53" s="362" t="str">
        <f>"MPa"</f>
        <v>MPa</v>
      </c>
      <c r="L53" s="40"/>
      <c r="M53" s="54"/>
      <c r="N53" s="54"/>
      <c r="O53" s="40"/>
      <c r="P53" s="40"/>
      <c r="Q53" s="40"/>
      <c r="R53" s="40"/>
      <c r="S53" s="40"/>
      <c r="T53" s="40"/>
      <c r="U53" s="40"/>
      <c r="V53" s="40"/>
      <c r="W53" s="40"/>
      <c r="X53" s="40"/>
      <c r="Y53" s="40"/>
      <c r="Z53" s="40"/>
      <c r="AA53" s="40"/>
      <c r="AB53" s="40"/>
      <c r="AC53" s="40"/>
      <c r="AD53" s="40"/>
      <c r="AE53" s="40"/>
      <c r="AF53" s="40"/>
      <c r="AG53" s="40"/>
      <c r="AH53" s="40"/>
      <c r="AI53" s="40"/>
      <c r="AJ53" s="115"/>
      <c r="AK53" s="57" t="s">
        <v>6</v>
      </c>
      <c r="AL53" s="63">
        <v>0.12</v>
      </c>
      <c r="AM53" s="63">
        <v>0.15</v>
      </c>
      <c r="AN53" s="63">
        <v>0.18</v>
      </c>
      <c r="AO53" s="63">
        <v>0.24</v>
      </c>
      <c r="AP53" s="63">
        <v>0.3</v>
      </c>
      <c r="AQ53" s="63">
        <v>0.39</v>
      </c>
      <c r="AR53" s="63"/>
      <c r="AS53" s="63"/>
      <c r="AT53" s="63"/>
      <c r="AU53" s="63"/>
      <c r="AV53" s="63"/>
      <c r="AW53" s="63"/>
      <c r="AX53" s="63"/>
      <c r="AY53" s="40"/>
      <c r="AZ53" s="40"/>
      <c r="BA53" s="40"/>
      <c r="BB53" s="180"/>
      <c r="BC53" s="40"/>
      <c r="BD53" s="40"/>
      <c r="BE53" s="40"/>
      <c r="BF53" s="40"/>
      <c r="BG53" s="40"/>
      <c r="BK53" s="40"/>
      <c r="BL53" s="40"/>
      <c r="BM53" s="40"/>
      <c r="BN53" s="40"/>
      <c r="BO53" s="40"/>
      <c r="BP53" s="40"/>
      <c r="BQ53" s="40"/>
      <c r="BR53" s="40"/>
      <c r="BS53" s="40"/>
      <c r="BT53" s="40"/>
    </row>
    <row r="54" spans="6:72" ht="17.25" customHeight="1" x14ac:dyDescent="0.15">
      <c r="F54" s="54"/>
      <c r="G54" s="54"/>
      <c r="H54" s="54"/>
      <c r="I54" s="88"/>
      <c r="J54" s="40"/>
      <c r="K54" s="363"/>
      <c r="L54" s="40"/>
      <c r="M54" s="54"/>
      <c r="N54" s="54"/>
      <c r="O54" s="40"/>
      <c r="P54" s="40"/>
      <c r="Q54" s="40"/>
      <c r="R54" s="40"/>
      <c r="S54" s="40"/>
      <c r="T54" s="40"/>
      <c r="U54" s="40"/>
      <c r="V54" s="40"/>
      <c r="W54" s="40"/>
      <c r="X54" s="40"/>
      <c r="Y54" s="40"/>
      <c r="Z54" s="40"/>
      <c r="AA54" s="40"/>
      <c r="AB54" s="40"/>
      <c r="AC54" s="40"/>
      <c r="AD54" s="40"/>
      <c r="AE54" s="40"/>
      <c r="AF54" s="40"/>
      <c r="AG54" s="40"/>
      <c r="AH54" s="40"/>
      <c r="AI54" s="40"/>
      <c r="AJ54" s="115"/>
      <c r="AK54" s="57" t="s">
        <v>41</v>
      </c>
      <c r="AL54" s="63">
        <v>1.2</v>
      </c>
      <c r="AM54" s="63">
        <v>1.6</v>
      </c>
      <c r="AN54" s="63">
        <v>2</v>
      </c>
      <c r="AO54" s="63">
        <v>2.5</v>
      </c>
      <c r="AP54" s="63">
        <v>3.1</v>
      </c>
      <c r="AQ54" s="63">
        <v>4</v>
      </c>
      <c r="AR54" s="63"/>
      <c r="AS54" s="63"/>
      <c r="AT54" s="63"/>
      <c r="AU54" s="63"/>
      <c r="AV54" s="63"/>
      <c r="AW54" s="63"/>
      <c r="AX54" s="63"/>
      <c r="AY54" s="40"/>
      <c r="AZ54" s="40"/>
      <c r="BA54" s="40"/>
      <c r="BB54" s="180"/>
      <c r="BC54" s="40"/>
      <c r="BD54" s="40"/>
      <c r="BE54" s="40"/>
      <c r="BF54" s="40"/>
      <c r="BG54" s="40"/>
      <c r="BK54" s="40"/>
      <c r="BL54" s="40"/>
      <c r="BM54" s="40"/>
      <c r="BN54" s="40"/>
      <c r="BO54" s="40"/>
      <c r="BP54" s="40"/>
      <c r="BQ54" s="40"/>
      <c r="BR54" s="40"/>
      <c r="BS54" s="40"/>
      <c r="BT54" s="40"/>
    </row>
    <row r="55" spans="6:72" ht="18" customHeight="1" x14ac:dyDescent="0.15">
      <c r="F55" s="54"/>
      <c r="G55" s="54"/>
      <c r="H55" s="54"/>
      <c r="I55" s="40"/>
      <c r="J55" s="40"/>
      <c r="K55" s="52"/>
      <c r="L55" s="40"/>
      <c r="M55" s="54"/>
      <c r="N55" s="54"/>
      <c r="O55" s="40"/>
      <c r="P55" s="40"/>
      <c r="Q55" s="40"/>
      <c r="R55" s="40"/>
      <c r="S55" s="40"/>
      <c r="T55" s="40"/>
      <c r="U55" s="40"/>
      <c r="V55" s="40"/>
      <c r="W55" s="40"/>
      <c r="X55" s="40"/>
      <c r="Y55" s="40"/>
      <c r="Z55" s="40"/>
      <c r="AA55" s="40"/>
      <c r="AB55" s="40"/>
      <c r="AC55" s="40"/>
      <c r="AD55" s="40"/>
      <c r="AE55" s="40"/>
      <c r="AF55" s="40"/>
      <c r="AG55" s="40"/>
      <c r="AH55" s="40"/>
      <c r="AI55" s="40"/>
      <c r="AJ55" s="40"/>
      <c r="AK55" s="57" t="s">
        <v>42</v>
      </c>
      <c r="AL55" s="63">
        <v>1.38</v>
      </c>
      <c r="AM55" s="63">
        <v>2.1800000000000002</v>
      </c>
      <c r="AN55" s="63">
        <v>3</v>
      </c>
      <c r="AO55" s="63">
        <v>4.62</v>
      </c>
      <c r="AP55" s="63">
        <v>5.47</v>
      </c>
      <c r="AQ55" s="63">
        <v>8</v>
      </c>
      <c r="AR55" s="63"/>
      <c r="AS55" s="63"/>
      <c r="AT55" s="63"/>
      <c r="AU55" s="63"/>
      <c r="AV55" s="63"/>
      <c r="AW55" s="63"/>
      <c r="AX55" s="63"/>
      <c r="AY55" s="40"/>
      <c r="AZ55" s="40"/>
      <c r="BA55" s="40"/>
      <c r="BB55" s="180"/>
      <c r="BC55" s="40"/>
      <c r="BD55" s="40"/>
      <c r="BE55" s="40"/>
      <c r="BF55" s="40"/>
      <c r="BG55" s="40"/>
      <c r="BK55" s="40"/>
      <c r="BL55" s="40"/>
      <c r="BM55" s="40"/>
      <c r="BN55" s="40"/>
      <c r="BO55" s="40"/>
      <c r="BP55" s="40"/>
      <c r="BQ55" s="40"/>
      <c r="BR55" s="40"/>
      <c r="BS55" s="40"/>
      <c r="BT55" s="40"/>
    </row>
    <row r="56" spans="6:72" ht="17.100000000000001" customHeight="1" x14ac:dyDescent="0.15">
      <c r="F56" s="54"/>
      <c r="G56" s="54"/>
      <c r="H56" s="54"/>
      <c r="I56" s="40"/>
      <c r="J56" s="40"/>
      <c r="K56" s="52"/>
      <c r="L56" s="40"/>
      <c r="M56" s="54"/>
      <c r="N56" s="54"/>
      <c r="O56" s="40"/>
      <c r="P56" s="40"/>
      <c r="Q56" s="40"/>
      <c r="R56" s="40"/>
      <c r="S56" s="40"/>
      <c r="T56" s="40"/>
      <c r="U56" s="40"/>
      <c r="V56" s="40"/>
      <c r="W56" s="40"/>
      <c r="X56" s="40"/>
      <c r="Y56" s="40"/>
      <c r="Z56" s="40"/>
      <c r="AA56" s="40"/>
      <c r="AB56" s="40"/>
      <c r="AC56" s="40"/>
      <c r="AD56" s="40"/>
      <c r="AE56" s="40"/>
      <c r="AF56" s="40"/>
      <c r="AG56" s="40"/>
      <c r="AH56" s="40"/>
      <c r="AI56" s="40"/>
      <c r="AJ56" s="40"/>
      <c r="AY56" s="40"/>
      <c r="AZ56" s="40"/>
      <c r="BA56" s="40"/>
      <c r="BB56" s="180"/>
      <c r="BC56" s="40"/>
      <c r="BD56" s="40"/>
      <c r="BE56" s="40"/>
      <c r="BF56" s="40"/>
      <c r="BG56" s="40"/>
      <c r="BK56" s="40"/>
      <c r="BL56" s="40"/>
      <c r="BM56" s="40"/>
      <c r="BN56" s="40"/>
      <c r="BO56" s="40"/>
      <c r="BP56" s="40"/>
      <c r="BQ56" s="40"/>
      <c r="BR56" s="40"/>
      <c r="BS56" s="40"/>
      <c r="BT56" s="40"/>
    </row>
    <row r="57" spans="6:72" ht="20.100000000000001" customHeight="1" x14ac:dyDescent="0.15">
      <c r="F57" s="54"/>
      <c r="G57" s="54"/>
      <c r="H57" s="54"/>
      <c r="I57" s="40"/>
      <c r="J57" s="40"/>
      <c r="K57" s="52"/>
      <c r="L57" s="40"/>
      <c r="M57" s="54"/>
      <c r="N57" s="54"/>
      <c r="O57" s="40"/>
      <c r="P57" s="40"/>
      <c r="Q57" s="40"/>
      <c r="R57" s="40"/>
      <c r="S57" s="40"/>
      <c r="T57" s="40"/>
      <c r="U57" s="40"/>
      <c r="V57" s="40"/>
      <c r="W57" s="40"/>
      <c r="X57" s="40"/>
      <c r="Y57" s="40"/>
      <c r="Z57" s="40"/>
      <c r="AA57" s="40"/>
      <c r="AB57" s="40"/>
      <c r="AC57" s="40"/>
      <c r="AD57" s="40"/>
      <c r="AE57" s="40"/>
      <c r="AF57" s="40"/>
      <c r="AG57" s="40"/>
      <c r="AH57" s="40"/>
      <c r="AI57" s="40"/>
      <c r="AJ57" s="40"/>
      <c r="AY57" s="40"/>
      <c r="AZ57" s="40"/>
      <c r="BA57" s="40"/>
      <c r="BB57" s="180"/>
      <c r="BC57" s="40"/>
      <c r="BD57" s="40"/>
      <c r="BE57" s="40"/>
      <c r="BF57" s="40"/>
      <c r="BG57" s="40"/>
      <c r="BK57" s="40"/>
      <c r="BL57" s="40"/>
      <c r="BM57" s="40"/>
      <c r="BN57" s="40"/>
      <c r="BO57" s="40"/>
      <c r="BP57" s="40"/>
      <c r="BQ57" s="40"/>
      <c r="BR57" s="40"/>
      <c r="BS57" s="40"/>
      <c r="BT57" s="40"/>
    </row>
    <row r="58" spans="6:72" ht="20.100000000000001" customHeight="1" x14ac:dyDescent="0.15">
      <c r="F58" s="54"/>
      <c r="G58" s="54"/>
      <c r="H58" s="54"/>
      <c r="I58" s="40"/>
      <c r="J58" s="40"/>
      <c r="K58" s="52"/>
      <c r="L58" s="40"/>
      <c r="M58" s="54"/>
      <c r="N58" s="54"/>
      <c r="O58" s="40"/>
      <c r="P58" s="40"/>
      <c r="Q58" s="40"/>
      <c r="R58" s="40"/>
      <c r="S58" s="40"/>
      <c r="T58" s="40"/>
      <c r="U58" s="40"/>
      <c r="V58" s="40"/>
      <c r="W58" s="40"/>
      <c r="X58" s="40"/>
      <c r="Y58" s="40"/>
      <c r="Z58" s="40"/>
      <c r="AA58" s="40"/>
      <c r="AB58" s="40"/>
      <c r="AC58" s="40"/>
      <c r="AD58" s="40"/>
      <c r="AE58" s="40"/>
      <c r="AF58" s="40"/>
      <c r="AG58" s="40"/>
      <c r="AH58" s="40"/>
      <c r="AI58" s="40"/>
      <c r="AJ58" s="40"/>
      <c r="AK58" s="108" t="s">
        <v>88</v>
      </c>
      <c r="AL58" s="108"/>
      <c r="AM58" s="108"/>
      <c r="AN58" s="109" t="s">
        <v>91</v>
      </c>
      <c r="AZ58" s="40"/>
      <c r="BA58" s="40"/>
      <c r="BB58" s="180"/>
      <c r="BC58" s="40"/>
      <c r="BD58" s="40"/>
      <c r="BE58" s="40"/>
      <c r="BF58" s="40"/>
      <c r="BG58" s="40"/>
      <c r="BK58" s="40"/>
      <c r="BL58" s="40"/>
      <c r="BM58" s="40"/>
      <c r="BN58" s="40"/>
      <c r="BO58" s="40"/>
      <c r="BP58" s="40"/>
      <c r="BQ58" s="40"/>
      <c r="BR58" s="40"/>
      <c r="BS58" s="40"/>
      <c r="BT58" s="40"/>
    </row>
    <row r="59" spans="6:72" ht="20.100000000000001" customHeight="1" x14ac:dyDescent="0.15">
      <c r="F59" s="54"/>
      <c r="G59" s="54"/>
      <c r="H59" s="54"/>
      <c r="I59" s="40"/>
      <c r="J59" s="40"/>
      <c r="K59" s="52"/>
      <c r="L59" s="40"/>
      <c r="M59" s="54"/>
      <c r="N59" s="54"/>
      <c r="O59" s="40"/>
      <c r="P59" s="40"/>
      <c r="Q59" s="40"/>
      <c r="R59" s="40"/>
      <c r="S59" s="40"/>
      <c r="T59" s="40"/>
      <c r="U59" s="40"/>
      <c r="V59" s="40"/>
      <c r="W59" s="40"/>
      <c r="X59" s="40"/>
      <c r="Y59" s="40"/>
      <c r="Z59" s="40"/>
      <c r="AA59" s="40"/>
      <c r="AB59" s="40"/>
      <c r="AC59" s="40"/>
      <c r="AD59" s="40"/>
      <c r="AE59" s="40"/>
      <c r="AF59" s="40"/>
      <c r="AG59" s="40"/>
      <c r="AH59" s="40"/>
      <c r="AI59" s="40"/>
      <c r="AJ59" s="40"/>
      <c r="AK59" s="57" t="s">
        <v>75</v>
      </c>
      <c r="AL59" s="58">
        <v>13</v>
      </c>
      <c r="AM59" s="58">
        <v>20</v>
      </c>
      <c r="AN59" s="58">
        <v>25</v>
      </c>
      <c r="AO59" s="58">
        <v>30</v>
      </c>
      <c r="AP59" s="58">
        <v>40</v>
      </c>
      <c r="AQ59" s="58">
        <v>50</v>
      </c>
      <c r="AR59" s="58"/>
      <c r="AS59" s="58"/>
      <c r="AT59" s="58"/>
      <c r="AU59" s="58"/>
      <c r="AV59" s="58"/>
      <c r="AW59" s="58"/>
      <c r="AX59" s="58"/>
      <c r="AZ59" s="40"/>
      <c r="BA59" s="40"/>
      <c r="BB59" s="180"/>
      <c r="BC59" s="40"/>
      <c r="BD59" s="40"/>
      <c r="BE59" s="40"/>
      <c r="BF59" s="40"/>
      <c r="BG59" s="40"/>
      <c r="BK59" s="40"/>
      <c r="BL59" s="40"/>
      <c r="BM59" s="40"/>
      <c r="BN59" s="40"/>
      <c r="BO59" s="40"/>
      <c r="BP59" s="40"/>
      <c r="BQ59" s="40"/>
      <c r="BR59" s="40"/>
      <c r="BS59" s="40"/>
      <c r="BT59" s="40"/>
    </row>
    <row r="60" spans="6:72" ht="19.5" customHeight="1" x14ac:dyDescent="0.15">
      <c r="F60" s="52"/>
      <c r="G60" s="52"/>
      <c r="H60" s="161"/>
      <c r="I60" s="123"/>
      <c r="J60" s="52"/>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57" t="s">
        <v>76</v>
      </c>
      <c r="AL60" s="63">
        <v>1.45</v>
      </c>
      <c r="AM60" s="63">
        <v>1.9</v>
      </c>
      <c r="AN60" s="63">
        <v>2.4</v>
      </c>
      <c r="AO60" s="63">
        <v>3.08</v>
      </c>
      <c r="AP60" s="63">
        <v>3.5</v>
      </c>
      <c r="AQ60" s="63">
        <v>4.4000000000000004</v>
      </c>
      <c r="AR60" s="63"/>
      <c r="AS60" s="63"/>
      <c r="AT60" s="63"/>
      <c r="AU60" s="63"/>
      <c r="AV60" s="63"/>
      <c r="AW60" s="63"/>
      <c r="AX60" s="63"/>
      <c r="AZ60" s="40"/>
      <c r="BA60" s="40"/>
      <c r="BB60" s="180"/>
      <c r="BC60" s="40"/>
      <c r="BD60" s="40"/>
      <c r="BE60" s="40"/>
      <c r="BF60" s="40"/>
      <c r="BG60" s="40"/>
      <c r="BK60" s="40"/>
      <c r="BL60" s="40"/>
      <c r="BM60" s="40"/>
      <c r="BN60" s="40"/>
      <c r="BO60" s="40"/>
      <c r="BP60" s="40"/>
      <c r="BQ60" s="40"/>
      <c r="BR60" s="40"/>
      <c r="BS60" s="40"/>
      <c r="BT60" s="40"/>
    </row>
    <row r="61" spans="6:72" ht="20.100000000000001" customHeight="1" x14ac:dyDescent="0.15">
      <c r="F61" s="52"/>
      <c r="G61" s="52"/>
      <c r="H61" s="161"/>
      <c r="I61" s="123"/>
      <c r="J61" s="5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57" t="s">
        <v>4</v>
      </c>
      <c r="AL61" s="63">
        <v>0.6</v>
      </c>
      <c r="AM61" s="63">
        <v>0.75</v>
      </c>
      <c r="AN61" s="63">
        <v>0.9</v>
      </c>
      <c r="AO61" s="63">
        <v>1.2</v>
      </c>
      <c r="AP61" s="63">
        <v>1.5</v>
      </c>
      <c r="AQ61" s="63">
        <v>2.1</v>
      </c>
      <c r="AR61" s="63"/>
      <c r="AS61" s="63"/>
      <c r="AT61" s="63"/>
      <c r="AU61" s="63"/>
      <c r="AV61" s="63"/>
      <c r="AW61" s="63"/>
      <c r="AX61" s="63"/>
      <c r="AZ61" s="40"/>
      <c r="BA61" s="40"/>
      <c r="BB61" s="180"/>
      <c r="BC61" s="40"/>
      <c r="BD61" s="40"/>
      <c r="BE61" s="40"/>
      <c r="BF61" s="40"/>
      <c r="BG61" s="40"/>
      <c r="BK61" s="40"/>
      <c r="BL61" s="40"/>
      <c r="BM61" s="40"/>
      <c r="BN61" s="40"/>
      <c r="BO61" s="40"/>
      <c r="BP61" s="40"/>
      <c r="BQ61" s="40"/>
      <c r="BR61" s="40"/>
      <c r="BS61" s="40"/>
      <c r="BT61" s="40"/>
    </row>
    <row r="62" spans="6:72" ht="20.100000000000001" customHeight="1" x14ac:dyDescent="0.15">
      <c r="F62" s="305"/>
      <c r="G62" s="305"/>
      <c r="H62" s="161"/>
      <c r="I62" s="123"/>
      <c r="J62" s="305"/>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57"/>
      <c r="AL62" s="63"/>
      <c r="AM62" s="63"/>
      <c r="AN62" s="63"/>
      <c r="AO62" s="63"/>
      <c r="AP62" s="63"/>
      <c r="AQ62" s="63"/>
      <c r="AR62" s="63"/>
      <c r="AS62" s="63"/>
      <c r="AT62" s="63"/>
      <c r="AU62" s="63"/>
      <c r="AV62" s="63"/>
      <c r="AW62" s="63"/>
      <c r="AX62" s="63"/>
      <c r="AZ62" s="40"/>
      <c r="BA62" s="40"/>
      <c r="BB62" s="180"/>
      <c r="BC62" s="40"/>
      <c r="BD62" s="40"/>
      <c r="BE62" s="40"/>
      <c r="BF62" s="40"/>
      <c r="BG62" s="40"/>
      <c r="BK62" s="40"/>
      <c r="BL62" s="40"/>
      <c r="BM62" s="40"/>
      <c r="BN62" s="40"/>
      <c r="BO62" s="40"/>
      <c r="BP62" s="40"/>
      <c r="BQ62" s="40"/>
      <c r="BR62" s="40"/>
      <c r="BS62" s="40"/>
      <c r="BT62" s="40"/>
    </row>
    <row r="63" spans="6:72" ht="20.100000000000001" customHeight="1" x14ac:dyDescent="0.15">
      <c r="F63" s="52"/>
      <c r="G63" s="52"/>
      <c r="H63" s="161"/>
      <c r="I63" s="123"/>
      <c r="J63" s="52"/>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57" t="s">
        <v>38</v>
      </c>
      <c r="AL63" s="63">
        <v>0.18</v>
      </c>
      <c r="AM63" s="63">
        <v>0.24</v>
      </c>
      <c r="AN63" s="63">
        <v>0.27</v>
      </c>
      <c r="AO63" s="63">
        <v>0.36</v>
      </c>
      <c r="AP63" s="63">
        <v>0.45</v>
      </c>
      <c r="AQ63" s="63">
        <v>0.6</v>
      </c>
      <c r="AR63" s="63"/>
      <c r="AS63" s="63"/>
      <c r="AT63" s="63"/>
      <c r="AU63" s="63"/>
      <c r="AV63" s="63"/>
      <c r="AW63" s="63"/>
      <c r="AX63" s="63"/>
      <c r="BG63" s="40"/>
      <c r="BK63" s="40"/>
      <c r="BL63" s="40"/>
      <c r="BM63" s="40"/>
      <c r="BN63" s="40"/>
      <c r="BO63" s="40"/>
      <c r="BP63" s="40"/>
      <c r="BQ63" s="40"/>
      <c r="BR63" s="40"/>
      <c r="BS63" s="40"/>
      <c r="BT63" s="40"/>
    </row>
    <row r="64" spans="6:72" ht="26.25" customHeight="1" x14ac:dyDescent="0.15">
      <c r="F64" s="412" t="s">
        <v>219</v>
      </c>
      <c r="G64" s="413"/>
      <c r="H64" s="413"/>
      <c r="I64" s="413"/>
      <c r="J64" s="413"/>
      <c r="K64" s="413"/>
      <c r="L64" s="413"/>
      <c r="M64" s="414"/>
      <c r="N64" s="1"/>
      <c r="AJ64" s="40"/>
      <c r="AK64" s="57" t="s">
        <v>5</v>
      </c>
      <c r="AL64" s="63">
        <v>0.9</v>
      </c>
      <c r="AM64" s="63">
        <v>1.2</v>
      </c>
      <c r="AN64" s="63">
        <v>1.5</v>
      </c>
      <c r="AO64" s="63">
        <v>1.8</v>
      </c>
      <c r="AP64" s="63">
        <v>2.1</v>
      </c>
      <c r="AQ64" s="63">
        <v>3</v>
      </c>
      <c r="AR64" s="63"/>
      <c r="AS64" s="63"/>
      <c r="AT64" s="63"/>
      <c r="AU64" s="63"/>
      <c r="AV64" s="63"/>
      <c r="AW64" s="63"/>
      <c r="AX64" s="63"/>
      <c r="BG64" s="40"/>
      <c r="BK64" s="40"/>
      <c r="BL64" s="40"/>
      <c r="BM64" s="40"/>
      <c r="BN64" s="40"/>
      <c r="BO64" s="40"/>
      <c r="BP64" s="40"/>
      <c r="BQ64" s="40"/>
      <c r="BR64" s="40"/>
      <c r="BS64" s="40"/>
      <c r="BT64" s="40"/>
    </row>
    <row r="65" spans="6:72" ht="12.75" customHeight="1" x14ac:dyDescent="0.15">
      <c r="AJ65" s="40"/>
      <c r="AK65" s="57" t="s">
        <v>6</v>
      </c>
      <c r="AL65" s="63">
        <v>0.12</v>
      </c>
      <c r="AM65" s="63">
        <v>0.15</v>
      </c>
      <c r="AN65" s="63">
        <v>0.18</v>
      </c>
      <c r="AO65" s="63">
        <v>0.24</v>
      </c>
      <c r="AP65" s="63">
        <v>0.3</v>
      </c>
      <c r="AQ65" s="63">
        <v>0.39</v>
      </c>
      <c r="AR65" s="63"/>
      <c r="AS65" s="63"/>
      <c r="AT65" s="63"/>
      <c r="AU65" s="63"/>
      <c r="AV65" s="63"/>
      <c r="AW65" s="63"/>
      <c r="AX65" s="63"/>
      <c r="BG65" s="40"/>
      <c r="BK65" s="40"/>
      <c r="BL65" s="40"/>
      <c r="BM65" s="40"/>
      <c r="BN65" s="40"/>
      <c r="BO65" s="40"/>
      <c r="BP65" s="40"/>
      <c r="BQ65" s="40"/>
      <c r="BR65" s="40"/>
      <c r="BS65" s="40"/>
      <c r="BT65" s="40"/>
    </row>
    <row r="66" spans="6:72" ht="19.5" customHeight="1" x14ac:dyDescent="0.15">
      <c r="F66" s="409" t="s">
        <v>0</v>
      </c>
      <c r="G66" s="388"/>
      <c r="H66" s="389"/>
      <c r="I66" s="417" t="s">
        <v>188</v>
      </c>
      <c r="J66" s="418"/>
      <c r="K66" s="418"/>
      <c r="L66" s="419"/>
      <c r="M66" s="40"/>
      <c r="N66" s="334" t="s">
        <v>1</v>
      </c>
      <c r="O66" s="420" t="s">
        <v>241</v>
      </c>
      <c r="P66" s="421"/>
      <c r="Q66" s="422"/>
      <c r="R66" s="336"/>
      <c r="S66" s="334" t="s">
        <v>2</v>
      </c>
      <c r="T66" s="410">
        <v>41876</v>
      </c>
      <c r="U66" s="411"/>
      <c r="V66" s="40"/>
      <c r="W66" s="334" t="s">
        <v>44</v>
      </c>
      <c r="X66" s="428" t="s">
        <v>189</v>
      </c>
      <c r="Y66" s="429"/>
      <c r="Z66" s="430"/>
      <c r="AA66" s="54"/>
      <c r="AB66" s="54"/>
      <c r="AJ66" s="40"/>
      <c r="AK66" s="57" t="s">
        <v>41</v>
      </c>
      <c r="AL66" s="63">
        <v>1.2</v>
      </c>
      <c r="AM66" s="63">
        <v>1.6</v>
      </c>
      <c r="AN66" s="63">
        <v>2</v>
      </c>
      <c r="AO66" s="63">
        <v>2.5</v>
      </c>
      <c r="AP66" s="63">
        <v>3.1</v>
      </c>
      <c r="AQ66" s="63">
        <v>4</v>
      </c>
      <c r="AR66" s="63"/>
      <c r="AS66" s="63"/>
      <c r="AT66" s="63"/>
      <c r="AU66" s="63"/>
      <c r="AV66" s="63"/>
      <c r="AW66" s="63"/>
      <c r="AX66" s="63"/>
      <c r="BG66" s="40"/>
      <c r="BK66" s="40"/>
      <c r="BL66" s="40"/>
      <c r="BM66" s="40"/>
      <c r="BN66" s="40"/>
      <c r="BO66" s="40"/>
      <c r="BP66" s="40"/>
      <c r="BQ66" s="40"/>
      <c r="BR66" s="40"/>
      <c r="BS66" s="40"/>
      <c r="BT66" s="40"/>
    </row>
    <row r="67" spans="6:72" ht="12" customHeight="1" x14ac:dyDescent="0.15">
      <c r="F67" s="40"/>
      <c r="G67" s="40"/>
      <c r="H67" s="40"/>
      <c r="I67" s="40"/>
      <c r="J67" s="40"/>
      <c r="K67" s="40"/>
      <c r="L67" s="40"/>
      <c r="M67" s="40"/>
      <c r="N67" s="40"/>
      <c r="O67" s="40"/>
      <c r="P67" s="40"/>
      <c r="Q67" s="40"/>
      <c r="R67" s="40"/>
      <c r="S67" s="40"/>
      <c r="T67" s="40"/>
      <c r="U67" s="40"/>
      <c r="V67" s="40"/>
      <c r="W67" s="40"/>
      <c r="X67" s="40"/>
      <c r="Y67" s="40"/>
      <c r="Z67" s="40"/>
      <c r="AA67" s="40"/>
      <c r="AB67" s="40"/>
      <c r="AJ67" s="40"/>
      <c r="AK67" s="57" t="s">
        <v>42</v>
      </c>
      <c r="AL67" s="63">
        <v>1.38</v>
      </c>
      <c r="AM67" s="63">
        <v>2.1800000000000002</v>
      </c>
      <c r="AN67" s="63">
        <v>3</v>
      </c>
      <c r="AO67" s="63">
        <v>4.62</v>
      </c>
      <c r="AP67" s="63">
        <v>5.47</v>
      </c>
      <c r="AQ67" s="63">
        <v>8</v>
      </c>
      <c r="AR67" s="63"/>
      <c r="AS67" s="63"/>
      <c r="AT67" s="63"/>
      <c r="AU67" s="63"/>
      <c r="AV67" s="63"/>
      <c r="AW67" s="63"/>
      <c r="AX67" s="63"/>
      <c r="BG67" s="40"/>
      <c r="BK67" s="40"/>
      <c r="BL67" s="40"/>
      <c r="BM67" s="40"/>
      <c r="BN67" s="40"/>
      <c r="BO67" s="40"/>
      <c r="BP67" s="40"/>
      <c r="BQ67" s="40"/>
      <c r="BR67" s="40"/>
      <c r="BS67" s="40"/>
      <c r="BT67" s="40"/>
    </row>
    <row r="68" spans="6:72" ht="19.5" customHeight="1" x14ac:dyDescent="0.15">
      <c r="F68" s="59" t="s">
        <v>3</v>
      </c>
      <c r="G68" s="60"/>
      <c r="H68" s="61"/>
      <c r="I68" s="163">
        <v>1</v>
      </c>
      <c r="J68" s="60"/>
      <c r="K68" s="61" t="s">
        <v>37</v>
      </c>
      <c r="L68" s="131" t="s">
        <v>190</v>
      </c>
      <c r="M68" s="40"/>
      <c r="N68" s="40"/>
      <c r="O68" s="40"/>
      <c r="P68" s="40"/>
      <c r="Q68" s="40"/>
      <c r="R68" s="40"/>
      <c r="S68" s="40"/>
      <c r="T68" s="40"/>
      <c r="U68" s="40"/>
      <c r="V68" s="40"/>
      <c r="W68" s="40"/>
      <c r="X68" s="40"/>
      <c r="Y68" s="40"/>
      <c r="Z68" s="40"/>
      <c r="AA68" s="40"/>
      <c r="AB68" s="40"/>
      <c r="AJ68" s="40"/>
      <c r="BG68" s="40"/>
      <c r="BK68" s="40"/>
      <c r="BL68" s="40"/>
      <c r="BM68" s="40"/>
      <c r="BN68" s="40"/>
      <c r="BO68" s="40"/>
      <c r="BP68" s="40"/>
      <c r="BQ68" s="40"/>
      <c r="BR68" s="40"/>
      <c r="BS68" s="40"/>
      <c r="BT68" s="40"/>
    </row>
    <row r="69" spans="6:72" ht="14.25" customHeight="1" x14ac:dyDescent="0.15">
      <c r="F69" s="40"/>
      <c r="G69" s="40"/>
      <c r="H69" s="40"/>
      <c r="I69" s="40"/>
      <c r="J69" s="40"/>
      <c r="K69" s="40"/>
      <c r="L69" s="40"/>
      <c r="M69" s="40"/>
      <c r="N69" s="40"/>
      <c r="O69" s="40"/>
      <c r="P69" s="40"/>
      <c r="Q69" s="40"/>
      <c r="R69" s="40"/>
      <c r="S69" s="40"/>
      <c r="T69" s="40"/>
      <c r="U69" s="40"/>
      <c r="V69" s="40"/>
      <c r="W69" s="40"/>
      <c r="X69" s="40"/>
      <c r="Y69" s="40"/>
      <c r="Z69" s="40"/>
      <c r="AA69" s="40"/>
      <c r="AB69" s="40"/>
      <c r="AJ69" s="40"/>
      <c r="AK69" s="105" t="s">
        <v>77</v>
      </c>
      <c r="BG69" s="40"/>
    </row>
    <row r="70" spans="6:72" ht="15" customHeight="1" thickBot="1" x14ac:dyDescent="0.2">
      <c r="F70" s="40"/>
      <c r="G70" s="40"/>
      <c r="H70" s="40"/>
      <c r="I70" s="40"/>
      <c r="J70" s="40"/>
      <c r="K70" s="40"/>
      <c r="L70" s="40"/>
      <c r="M70" s="40"/>
      <c r="N70" s="40"/>
      <c r="O70" s="40"/>
      <c r="P70" s="40"/>
      <c r="Q70" s="40"/>
      <c r="R70" s="40"/>
      <c r="S70" s="40"/>
      <c r="T70" s="40"/>
      <c r="U70" s="40"/>
      <c r="V70" s="40"/>
      <c r="W70" s="40"/>
      <c r="X70" s="40"/>
      <c r="Y70" s="40"/>
      <c r="Z70" s="40"/>
      <c r="AA70" s="40"/>
      <c r="AB70" s="40"/>
      <c r="AJ70" s="40"/>
      <c r="AK70" s="102" t="s">
        <v>74</v>
      </c>
      <c r="AL70" s="102">
        <v>13</v>
      </c>
      <c r="AM70" s="102">
        <v>20</v>
      </c>
      <c r="AN70" s="102">
        <v>25</v>
      </c>
      <c r="AO70" s="102">
        <v>30</v>
      </c>
      <c r="AP70" s="102">
        <v>40</v>
      </c>
      <c r="AQ70" s="102">
        <v>50</v>
      </c>
      <c r="BG70" s="40"/>
    </row>
    <row r="71" spans="6:72" ht="20.100000000000001" customHeight="1" thickBot="1" x14ac:dyDescent="0.2">
      <c r="F71" s="234"/>
      <c r="G71" s="40"/>
      <c r="H71" s="64" t="s">
        <v>45</v>
      </c>
      <c r="I71" s="53"/>
      <c r="J71" s="40"/>
      <c r="K71" s="334" t="s">
        <v>7</v>
      </c>
      <c r="L71" s="65" t="s">
        <v>8</v>
      </c>
      <c r="M71" s="66" t="s">
        <v>9</v>
      </c>
      <c r="N71" s="66"/>
      <c r="O71" s="64" t="s">
        <v>10</v>
      </c>
      <c r="P71" s="66"/>
      <c r="Q71" s="66"/>
      <c r="R71" s="66"/>
      <c r="S71" s="66"/>
      <c r="T71" s="66"/>
      <c r="U71" s="64" t="s">
        <v>11</v>
      </c>
      <c r="V71" s="66"/>
      <c r="W71" s="66"/>
      <c r="X71" s="66"/>
      <c r="Y71" s="66"/>
      <c r="Z71" s="53"/>
      <c r="AA71" s="40"/>
      <c r="AB71" s="404" t="s">
        <v>55</v>
      </c>
      <c r="AJ71" s="40"/>
      <c r="AK71" s="102" t="s">
        <v>67</v>
      </c>
      <c r="AL71" s="103">
        <v>3.3</v>
      </c>
      <c r="AM71" s="103">
        <v>6.5</v>
      </c>
      <c r="AN71" s="103">
        <v>21.1</v>
      </c>
      <c r="AO71" s="103">
        <v>14.3</v>
      </c>
      <c r="AP71" s="103">
        <v>15</v>
      </c>
      <c r="AQ71" s="103">
        <v>12.6</v>
      </c>
      <c r="BG71" s="40"/>
    </row>
    <row r="72" spans="6:72" ht="20.100000000000001" customHeight="1" x14ac:dyDescent="0.15">
      <c r="F72" s="235"/>
      <c r="G72" s="40"/>
      <c r="H72" s="68" t="s">
        <v>46</v>
      </c>
      <c r="I72" s="334" t="s">
        <v>47</v>
      </c>
      <c r="J72" s="40"/>
      <c r="K72" s="334" t="s">
        <v>36</v>
      </c>
      <c r="L72" s="65" t="s">
        <v>12</v>
      </c>
      <c r="M72" s="333" t="s">
        <v>48</v>
      </c>
      <c r="N72" s="69" t="s">
        <v>13</v>
      </c>
      <c r="O72" s="333" t="s">
        <v>14</v>
      </c>
      <c r="P72" s="334" t="s">
        <v>15</v>
      </c>
      <c r="Q72" s="333" t="s">
        <v>16</v>
      </c>
      <c r="R72" s="334" t="s">
        <v>17</v>
      </c>
      <c r="S72" s="333" t="s">
        <v>18</v>
      </c>
      <c r="T72" s="69" t="s">
        <v>13</v>
      </c>
      <c r="U72" s="333" t="s">
        <v>19</v>
      </c>
      <c r="V72" s="334" t="s">
        <v>15</v>
      </c>
      <c r="W72" s="70" t="s">
        <v>16</v>
      </c>
      <c r="X72" s="334" t="s">
        <v>17</v>
      </c>
      <c r="Y72" s="333" t="s">
        <v>18</v>
      </c>
      <c r="Z72" s="69" t="s">
        <v>13</v>
      </c>
      <c r="AA72" s="336"/>
      <c r="AB72" s="405"/>
      <c r="AJ72" s="40"/>
      <c r="AK72" s="102" t="s">
        <v>68</v>
      </c>
      <c r="AL72" s="103">
        <v>2</v>
      </c>
      <c r="AM72" s="103">
        <v>5</v>
      </c>
      <c r="AN72" s="103">
        <v>5.0999999999999996</v>
      </c>
      <c r="AO72" s="103">
        <v>0.8</v>
      </c>
      <c r="AP72" s="103">
        <v>2.8</v>
      </c>
      <c r="AQ72" s="103">
        <v>1.6</v>
      </c>
      <c r="BG72" s="40"/>
    </row>
    <row r="73" spans="6:72" ht="14.25" customHeight="1" x14ac:dyDescent="0.15">
      <c r="F73" s="235" t="s">
        <v>21</v>
      </c>
      <c r="G73" s="40"/>
      <c r="H73" s="168">
        <v>1</v>
      </c>
      <c r="I73" s="189" t="s">
        <v>94</v>
      </c>
      <c r="J73" s="40"/>
      <c r="K73" s="73"/>
      <c r="L73" s="74"/>
      <c r="M73" s="75"/>
      <c r="N73" s="76"/>
      <c r="O73" s="77" t="s">
        <v>191</v>
      </c>
      <c r="P73" s="173">
        <v>2</v>
      </c>
      <c r="Q73" s="78">
        <v>0.5</v>
      </c>
      <c r="R73" s="79">
        <v>1</v>
      </c>
      <c r="S73" s="80"/>
      <c r="T73" s="81">
        <v>0</v>
      </c>
      <c r="U73" s="176"/>
      <c r="V73" s="174"/>
      <c r="W73" s="79">
        <v>0</v>
      </c>
      <c r="X73" s="82">
        <v>0</v>
      </c>
      <c r="Y73" s="83"/>
      <c r="Z73" s="84">
        <v>0</v>
      </c>
      <c r="AA73" s="40"/>
      <c r="AB73" s="85"/>
      <c r="AJ73" s="40"/>
      <c r="AK73" s="102" t="s">
        <v>69</v>
      </c>
      <c r="AL73" s="103">
        <v>2.1</v>
      </c>
      <c r="AM73" s="103">
        <v>3.1</v>
      </c>
      <c r="AN73" s="103">
        <v>7.3</v>
      </c>
      <c r="AO73" s="103">
        <v>3.2</v>
      </c>
      <c r="AP73" s="103">
        <v>4.7</v>
      </c>
      <c r="AQ73" s="103">
        <v>6.3</v>
      </c>
      <c r="BG73" s="40"/>
    </row>
    <row r="74" spans="6:72" ht="14.25" customHeight="1" x14ac:dyDescent="0.15">
      <c r="F74" s="235"/>
      <c r="G74" s="40"/>
      <c r="H74" s="186" t="s">
        <v>192</v>
      </c>
      <c r="I74" s="170">
        <v>20</v>
      </c>
      <c r="J74" s="40"/>
      <c r="K74" s="141">
        <v>30</v>
      </c>
      <c r="L74" s="74">
        <v>0.15939999999999999</v>
      </c>
      <c r="M74" s="172">
        <v>6</v>
      </c>
      <c r="N74" s="84">
        <v>0.96</v>
      </c>
      <c r="O74" s="87" t="s">
        <v>193</v>
      </c>
      <c r="P74" s="174">
        <v>2</v>
      </c>
      <c r="Q74" s="88">
        <v>0</v>
      </c>
      <c r="R74" s="82">
        <v>0</v>
      </c>
      <c r="S74" s="83">
        <v>1</v>
      </c>
      <c r="T74" s="84">
        <v>0.16</v>
      </c>
      <c r="U74" s="177"/>
      <c r="V74" s="174"/>
      <c r="W74" s="82">
        <v>0</v>
      </c>
      <c r="X74" s="82">
        <v>0</v>
      </c>
      <c r="Y74" s="83">
        <v>0</v>
      </c>
      <c r="Z74" s="84">
        <v>0</v>
      </c>
      <c r="AA74" s="40"/>
      <c r="AB74" s="84">
        <v>1.1199999999999999</v>
      </c>
      <c r="AJ74" s="40"/>
      <c r="AK74" s="102" t="s">
        <v>65</v>
      </c>
      <c r="AL74" s="103"/>
      <c r="AM74" s="103">
        <v>11</v>
      </c>
      <c r="AN74" s="103">
        <v>0</v>
      </c>
      <c r="AO74" s="103"/>
      <c r="AP74" s="103"/>
      <c r="AQ74" s="103"/>
      <c r="BG74" s="40"/>
    </row>
    <row r="75" spans="6:72" ht="14.25" customHeight="1" x14ac:dyDescent="0.15">
      <c r="F75" s="235"/>
      <c r="G75" s="40"/>
      <c r="H75" s="187"/>
      <c r="I75" s="91">
        <v>2</v>
      </c>
      <c r="J75" s="40"/>
      <c r="K75" s="73"/>
      <c r="L75" s="74"/>
      <c r="M75" s="75"/>
      <c r="N75" s="76"/>
      <c r="O75" s="87" t="s">
        <v>194</v>
      </c>
      <c r="P75" s="174"/>
      <c r="Q75" s="88">
        <v>0.5</v>
      </c>
      <c r="R75" s="82">
        <v>0</v>
      </c>
      <c r="S75" s="83"/>
      <c r="T75" s="84"/>
      <c r="U75" s="178"/>
      <c r="V75" s="174"/>
      <c r="W75" s="82">
        <v>0</v>
      </c>
      <c r="X75" s="82">
        <v>0</v>
      </c>
      <c r="Y75" s="83"/>
      <c r="Z75" s="92">
        <v>0</v>
      </c>
      <c r="AA75" s="40"/>
      <c r="AB75" s="93"/>
      <c r="BG75" s="40"/>
    </row>
    <row r="76" spans="6:72" ht="14.25" customHeight="1" x14ac:dyDescent="0.15">
      <c r="F76" s="235" t="s">
        <v>22</v>
      </c>
      <c r="G76" s="40"/>
      <c r="H76" s="168">
        <v>2</v>
      </c>
      <c r="I76" s="189" t="s">
        <v>94</v>
      </c>
      <c r="J76" s="40"/>
      <c r="K76" s="94"/>
      <c r="L76" s="95"/>
      <c r="M76" s="96"/>
      <c r="N76" s="85"/>
      <c r="O76" s="77" t="s">
        <v>191</v>
      </c>
      <c r="P76" s="173">
        <v>3</v>
      </c>
      <c r="Q76" s="78">
        <v>0.5</v>
      </c>
      <c r="R76" s="79">
        <v>1.5</v>
      </c>
      <c r="S76" s="80"/>
      <c r="T76" s="81">
        <v>0</v>
      </c>
      <c r="U76" s="176" t="s">
        <v>66</v>
      </c>
      <c r="V76" s="173">
        <v>1</v>
      </c>
      <c r="W76" s="79">
        <v>0</v>
      </c>
      <c r="X76" s="79">
        <v>0</v>
      </c>
      <c r="Y76" s="80"/>
      <c r="Z76" s="84">
        <v>0.1</v>
      </c>
      <c r="AA76" s="40"/>
      <c r="AB76" s="76"/>
      <c r="AK76" s="105" t="s">
        <v>78</v>
      </c>
      <c r="BG76" s="40"/>
    </row>
    <row r="77" spans="6:72" ht="14.25" customHeight="1" x14ac:dyDescent="0.15">
      <c r="F77" s="235"/>
      <c r="G77" s="40"/>
      <c r="H77" s="186" t="s">
        <v>195</v>
      </c>
      <c r="I77" s="170">
        <v>25</v>
      </c>
      <c r="J77" s="40"/>
      <c r="K77" s="188">
        <v>30</v>
      </c>
      <c r="L77" s="74">
        <v>5.7500000000000002E-2</v>
      </c>
      <c r="M77" s="172">
        <v>26.5</v>
      </c>
      <c r="N77" s="84">
        <v>1.53</v>
      </c>
      <c r="O77" s="87" t="s">
        <v>193</v>
      </c>
      <c r="P77" s="174">
        <v>5</v>
      </c>
      <c r="Q77" s="88">
        <v>0</v>
      </c>
      <c r="R77" s="82">
        <v>0</v>
      </c>
      <c r="S77" s="83">
        <v>2.5</v>
      </c>
      <c r="T77" s="84">
        <v>0.15000000000000002</v>
      </c>
      <c r="U77" s="177" t="s">
        <v>6</v>
      </c>
      <c r="V77" s="174">
        <v>1</v>
      </c>
      <c r="W77" s="82">
        <v>0.18</v>
      </c>
      <c r="X77" s="82">
        <v>0.18</v>
      </c>
      <c r="Y77" s="83">
        <v>0.18</v>
      </c>
      <c r="Z77" s="84">
        <v>0</v>
      </c>
      <c r="AA77" s="40"/>
      <c r="AB77" s="84">
        <v>1.8000000000000003</v>
      </c>
      <c r="AK77" s="102" t="s">
        <v>71</v>
      </c>
      <c r="AL77" s="102">
        <v>9.9999999999999994E-12</v>
      </c>
      <c r="AM77" s="102">
        <v>15.000000000000099</v>
      </c>
      <c r="AN77" s="102">
        <v>20.000000000000099</v>
      </c>
      <c r="AO77" s="102">
        <v>25.000000000000099</v>
      </c>
      <c r="AP77" s="102">
        <v>30.000000000000099</v>
      </c>
      <c r="AQ77" s="102">
        <v>35.000000000000099</v>
      </c>
      <c r="AR77" s="102">
        <v>40.000000000000099</v>
      </c>
      <c r="AS77" s="102">
        <v>45.000000000000099</v>
      </c>
      <c r="AT77" s="102">
        <v>50.000000000000099</v>
      </c>
      <c r="AU77" s="102">
        <v>55.000000000000099</v>
      </c>
      <c r="AV77" s="102">
        <v>60.000000000000099</v>
      </c>
      <c r="AW77" s="102">
        <v>65.000000000000099</v>
      </c>
      <c r="AX77" s="102">
        <v>70.000000000000099</v>
      </c>
      <c r="AY77" s="102">
        <v>75.000000000000099</v>
      </c>
      <c r="AZ77" s="102">
        <v>80.000000000000099</v>
      </c>
      <c r="BA77" s="102">
        <v>85.000000000000099</v>
      </c>
      <c r="BB77" s="102">
        <v>90.000000000000099</v>
      </c>
      <c r="BC77" s="102">
        <v>95.000000000000099</v>
      </c>
      <c r="BD77" s="102">
        <v>100.0000000000001</v>
      </c>
      <c r="BE77" s="102">
        <v>105.0000000000001</v>
      </c>
      <c r="BF77" s="102">
        <v>110.0000000000001</v>
      </c>
      <c r="BG77" s="102">
        <v>115.0000000000001</v>
      </c>
      <c r="BH77" s="102">
        <v>120.0000000000001</v>
      </c>
      <c r="BI77" s="102">
        <v>125.0000000000001</v>
      </c>
      <c r="BJ77" s="102">
        <v>130.00000000000011</v>
      </c>
      <c r="BK77" s="102">
        <v>135.00000000000011</v>
      </c>
      <c r="BL77" s="102">
        <v>140.00000000000011</v>
      </c>
      <c r="BM77" s="102">
        <v>150.00000000000011</v>
      </c>
      <c r="BN77" s="102">
        <v>160.00000000000011</v>
      </c>
      <c r="BO77" s="102">
        <v>170.00000000000011</v>
      </c>
      <c r="BP77" s="102">
        <v>180.00000000000011</v>
      </c>
      <c r="BQ77" s="102">
        <v>190.00000009999999</v>
      </c>
    </row>
    <row r="78" spans="6:72" ht="14.25" customHeight="1" x14ac:dyDescent="0.15">
      <c r="F78" s="235"/>
      <c r="G78" s="40"/>
      <c r="H78" s="186"/>
      <c r="I78" s="91">
        <v>2.5</v>
      </c>
      <c r="J78" s="40"/>
      <c r="K78" s="97"/>
      <c r="L78" s="98"/>
      <c r="M78" s="99"/>
      <c r="N78" s="93"/>
      <c r="O78" s="87" t="s">
        <v>194</v>
      </c>
      <c r="P78" s="175">
        <v>2</v>
      </c>
      <c r="Q78" s="88">
        <v>0.5</v>
      </c>
      <c r="R78" s="100">
        <v>1</v>
      </c>
      <c r="S78" s="101"/>
      <c r="T78" s="92"/>
      <c r="U78" s="179"/>
      <c r="V78" s="175"/>
      <c r="W78" s="100">
        <v>0</v>
      </c>
      <c r="X78" s="100">
        <v>0</v>
      </c>
      <c r="Y78" s="101"/>
      <c r="Z78" s="92">
        <v>0.02</v>
      </c>
      <c r="AA78" s="40"/>
      <c r="AB78" s="76"/>
      <c r="AK78" s="102" t="s">
        <v>72</v>
      </c>
      <c r="AL78" s="184">
        <v>0.1</v>
      </c>
      <c r="AM78" s="184">
        <v>0.1</v>
      </c>
      <c r="AN78" s="184">
        <v>0.1</v>
      </c>
      <c r="AO78" s="184">
        <v>0.1</v>
      </c>
      <c r="AP78" s="184">
        <v>0.11</v>
      </c>
      <c r="AQ78" s="184">
        <v>0.13</v>
      </c>
      <c r="AR78" s="184">
        <v>0.16</v>
      </c>
      <c r="AS78" s="184">
        <v>0.19</v>
      </c>
      <c r="AT78" s="184">
        <v>0.23</v>
      </c>
      <c r="AU78" s="184">
        <v>0.27</v>
      </c>
      <c r="AV78" s="184">
        <v>0.32</v>
      </c>
      <c r="AW78" s="184">
        <v>0.37</v>
      </c>
      <c r="AX78" s="184">
        <v>0.43</v>
      </c>
      <c r="AY78" s="184">
        <v>0.5</v>
      </c>
      <c r="AZ78" s="184">
        <v>0.57000000000000006</v>
      </c>
      <c r="BA78" s="184">
        <v>0.65</v>
      </c>
      <c r="BB78" s="184">
        <v>0.74</v>
      </c>
      <c r="BC78" s="184">
        <v>0.83</v>
      </c>
      <c r="BD78" s="184">
        <v>0.93</v>
      </c>
      <c r="BE78" s="184">
        <v>1.04</v>
      </c>
      <c r="BF78" s="184">
        <v>1.1499999999999999</v>
      </c>
      <c r="BG78" s="184">
        <v>1.27</v>
      </c>
      <c r="BH78" s="184">
        <v>1.4</v>
      </c>
      <c r="BI78" s="184">
        <v>1.53</v>
      </c>
      <c r="BJ78" s="184">
        <v>1.67</v>
      </c>
      <c r="BK78" s="184">
        <v>1.82</v>
      </c>
      <c r="BL78" s="184">
        <v>2.1399999999999997</v>
      </c>
      <c r="BM78" s="184">
        <v>2.4899999999999998</v>
      </c>
      <c r="BN78" s="184">
        <v>2.86</v>
      </c>
      <c r="BO78" s="184">
        <v>3.28</v>
      </c>
      <c r="BP78" s="184">
        <v>3.72</v>
      </c>
      <c r="BQ78" s="184" t="s">
        <v>85</v>
      </c>
    </row>
    <row r="79" spans="6:72" ht="14.25" customHeight="1" x14ac:dyDescent="0.15">
      <c r="F79" s="235" t="s">
        <v>23</v>
      </c>
      <c r="G79" s="40"/>
      <c r="H79" s="168">
        <v>3</v>
      </c>
      <c r="I79" s="189" t="s">
        <v>94</v>
      </c>
      <c r="J79" s="40"/>
      <c r="K79" s="134"/>
      <c r="L79" s="74"/>
      <c r="M79" s="75"/>
      <c r="N79" s="76"/>
      <c r="O79" s="77" t="s">
        <v>191</v>
      </c>
      <c r="P79" s="173"/>
      <c r="Q79" s="78">
        <v>0.5</v>
      </c>
      <c r="R79" s="79">
        <v>0</v>
      </c>
      <c r="S79" s="80"/>
      <c r="T79" s="81">
        <v>0</v>
      </c>
      <c r="U79" s="176" t="s">
        <v>6</v>
      </c>
      <c r="V79" s="174">
        <v>1</v>
      </c>
      <c r="W79" s="82">
        <v>0.18</v>
      </c>
      <c r="X79" s="82">
        <v>0.18</v>
      </c>
      <c r="Y79" s="83"/>
      <c r="Z79" s="84">
        <v>0</v>
      </c>
      <c r="AA79" s="40"/>
      <c r="AB79" s="85"/>
      <c r="BG79" s="40"/>
    </row>
    <row r="80" spans="6:72" ht="14.25" customHeight="1" x14ac:dyDescent="0.15">
      <c r="F80" s="235"/>
      <c r="G80" s="40"/>
      <c r="H80" s="186" t="s">
        <v>196</v>
      </c>
      <c r="I80" s="170">
        <v>25</v>
      </c>
      <c r="J80" s="40"/>
      <c r="K80" s="188">
        <v>30</v>
      </c>
      <c r="L80" s="74">
        <v>5.7500000000000002E-2</v>
      </c>
      <c r="M80" s="172">
        <v>0.6</v>
      </c>
      <c r="N80" s="84">
        <v>0.04</v>
      </c>
      <c r="O80" s="87" t="s">
        <v>193</v>
      </c>
      <c r="P80" s="174">
        <v>1</v>
      </c>
      <c r="Q80" s="88">
        <v>0</v>
      </c>
      <c r="R80" s="82">
        <v>0</v>
      </c>
      <c r="S80" s="83">
        <v>0.5</v>
      </c>
      <c r="T80" s="84">
        <v>0.03</v>
      </c>
      <c r="U80" s="177"/>
      <c r="V80" s="174"/>
      <c r="W80" s="82">
        <v>0</v>
      </c>
      <c r="X80" s="82">
        <v>0</v>
      </c>
      <c r="Y80" s="83">
        <v>0.18</v>
      </c>
      <c r="Z80" s="84">
        <v>0</v>
      </c>
      <c r="AA80" s="40"/>
      <c r="AB80" s="84">
        <v>9.0000000000000011E-2</v>
      </c>
      <c r="BG80" s="40"/>
    </row>
    <row r="81" spans="6:59" ht="14.25" customHeight="1" x14ac:dyDescent="0.15">
      <c r="F81" s="235"/>
      <c r="G81" s="40"/>
      <c r="H81" s="187"/>
      <c r="I81" s="91">
        <v>2.5</v>
      </c>
      <c r="J81" s="40"/>
      <c r="K81" s="134"/>
      <c r="L81" s="74"/>
      <c r="M81" s="75"/>
      <c r="N81" s="76"/>
      <c r="O81" s="87" t="s">
        <v>194</v>
      </c>
      <c r="P81" s="175">
        <v>1</v>
      </c>
      <c r="Q81" s="88">
        <v>0.5</v>
      </c>
      <c r="R81" s="100">
        <v>0.5</v>
      </c>
      <c r="S81" s="101"/>
      <c r="T81" s="92"/>
      <c r="U81" s="178"/>
      <c r="V81" s="174"/>
      <c r="W81" s="100">
        <v>0</v>
      </c>
      <c r="X81" s="82">
        <v>0</v>
      </c>
      <c r="Y81" s="83"/>
      <c r="Z81" s="92">
        <v>0.02</v>
      </c>
      <c r="AA81" s="40"/>
      <c r="AB81" s="93"/>
      <c r="AK81" s="431"/>
      <c r="AL81" s="432"/>
      <c r="AM81" s="433"/>
      <c r="AN81" s="102"/>
      <c r="BG81" s="40"/>
    </row>
    <row r="82" spans="6:59" ht="14.25" customHeight="1" x14ac:dyDescent="0.15">
      <c r="F82" s="235" t="s">
        <v>24</v>
      </c>
      <c r="G82" s="40"/>
      <c r="H82" s="169">
        <v>4</v>
      </c>
      <c r="I82" s="189" t="s">
        <v>94</v>
      </c>
      <c r="J82" s="40"/>
      <c r="K82" s="148"/>
      <c r="L82" s="95"/>
      <c r="M82" s="96"/>
      <c r="N82" s="85"/>
      <c r="O82" s="77" t="s">
        <v>191</v>
      </c>
      <c r="P82" s="173">
        <v>4</v>
      </c>
      <c r="Q82" s="78">
        <v>0.8</v>
      </c>
      <c r="R82" s="79">
        <f>P82*Q82</f>
        <v>3.2</v>
      </c>
      <c r="S82" s="80"/>
      <c r="T82" s="81">
        <v>0</v>
      </c>
      <c r="U82" s="239" t="s">
        <v>230</v>
      </c>
      <c r="V82" s="173">
        <v>1</v>
      </c>
      <c r="W82" s="82"/>
      <c r="X82" s="79">
        <f>V82*W82</f>
        <v>0</v>
      </c>
      <c r="Y82" s="80"/>
      <c r="Z82" s="84">
        <v>5.4</v>
      </c>
      <c r="AA82" s="40"/>
      <c r="AB82" s="76"/>
      <c r="AK82" s="431" t="s">
        <v>63</v>
      </c>
      <c r="AL82" s="432"/>
      <c r="AM82" s="433"/>
      <c r="AN82" s="102" t="s">
        <v>64</v>
      </c>
      <c r="BG82" s="40"/>
    </row>
    <row r="83" spans="6:59" ht="14.25" customHeight="1" x14ac:dyDescent="0.15">
      <c r="F83" s="235"/>
      <c r="G83" s="40"/>
      <c r="H83" s="186" t="s">
        <v>197</v>
      </c>
      <c r="I83" s="170">
        <v>40</v>
      </c>
      <c r="J83" s="40"/>
      <c r="K83" s="188">
        <v>30</v>
      </c>
      <c r="L83" s="74">
        <v>6.8000000000000005E-3</v>
      </c>
      <c r="M83" s="172">
        <v>10.1</v>
      </c>
      <c r="N83" s="84">
        <f>ROUNDUP(L83*M83,2)</f>
        <v>6.9999999999999993E-2</v>
      </c>
      <c r="O83" s="87" t="s">
        <v>193</v>
      </c>
      <c r="P83" s="174"/>
      <c r="Q83" s="88">
        <v>1</v>
      </c>
      <c r="R83" s="82"/>
      <c r="S83" s="83">
        <f>R82+R83</f>
        <v>3.2</v>
      </c>
      <c r="T83" s="84">
        <f>ROUNDUP(L83*S83,2)</f>
        <v>0.03</v>
      </c>
      <c r="U83" s="352" t="s">
        <v>231</v>
      </c>
      <c r="V83" s="174">
        <v>1</v>
      </c>
      <c r="W83" s="82">
        <v>0.3</v>
      </c>
      <c r="X83" s="82">
        <f t="shared" ref="X83:X84" si="30">V83*W83</f>
        <v>0.3</v>
      </c>
      <c r="Y83" s="83">
        <f>SUM(X82:X84)</f>
        <v>0.3</v>
      </c>
      <c r="Z83" s="84">
        <v>0</v>
      </c>
      <c r="AA83" s="40"/>
      <c r="AB83" s="84">
        <f>N83+T83+Z84+Z82</f>
        <v>5.5100000000000007</v>
      </c>
      <c r="AK83" s="431" t="s">
        <v>52</v>
      </c>
      <c r="AL83" s="432"/>
      <c r="AM83" s="433"/>
      <c r="AN83" s="102" t="s">
        <v>40</v>
      </c>
      <c r="BG83" s="40"/>
    </row>
    <row r="84" spans="6:59" ht="14.25" customHeight="1" x14ac:dyDescent="0.15">
      <c r="F84" s="235"/>
      <c r="G84" s="40"/>
      <c r="H84" s="186"/>
      <c r="I84" s="91">
        <v>4</v>
      </c>
      <c r="J84" s="40"/>
      <c r="K84" s="150"/>
      <c r="L84" s="98"/>
      <c r="M84" s="99"/>
      <c r="N84" s="93"/>
      <c r="O84" s="87" t="s">
        <v>194</v>
      </c>
      <c r="P84" s="175"/>
      <c r="Q84" s="88">
        <v>1.8</v>
      </c>
      <c r="R84" s="100">
        <v>0</v>
      </c>
      <c r="S84" s="101"/>
      <c r="T84" s="92"/>
      <c r="U84" s="178"/>
      <c r="V84" s="175"/>
      <c r="W84" s="100"/>
      <c r="X84" s="100">
        <f t="shared" si="30"/>
        <v>0</v>
      </c>
      <c r="Y84" s="101"/>
      <c r="Z84" s="92">
        <f>ROUNDUP(L83*Y83,2)</f>
        <v>0.01</v>
      </c>
      <c r="AA84" s="40"/>
      <c r="AB84" s="76"/>
      <c r="AK84" s="431" t="s">
        <v>53</v>
      </c>
      <c r="AL84" s="432"/>
      <c r="AM84" s="433"/>
      <c r="AN84" s="102" t="s">
        <v>56</v>
      </c>
      <c r="BG84" s="40"/>
    </row>
    <row r="85" spans="6:59" ht="14.25" customHeight="1" x14ac:dyDescent="0.15">
      <c r="F85" s="235" t="s">
        <v>25</v>
      </c>
      <c r="G85" s="40"/>
      <c r="H85" s="168"/>
      <c r="I85" s="189" t="s">
        <v>198</v>
      </c>
      <c r="J85" s="40"/>
      <c r="K85" s="134"/>
      <c r="L85" s="74"/>
      <c r="M85" s="75"/>
      <c r="N85" s="76"/>
      <c r="O85" s="77" t="s">
        <v>198</v>
      </c>
      <c r="P85" s="173"/>
      <c r="Q85" s="78">
        <v>0</v>
      </c>
      <c r="R85" s="79">
        <v>0</v>
      </c>
      <c r="S85" s="80"/>
      <c r="T85" s="81">
        <v>0</v>
      </c>
      <c r="U85" s="176"/>
      <c r="V85" s="174"/>
      <c r="W85" s="82">
        <v>0</v>
      </c>
      <c r="X85" s="82">
        <v>0</v>
      </c>
      <c r="Y85" s="83"/>
      <c r="Z85" s="84">
        <v>0</v>
      </c>
      <c r="AA85" s="40"/>
      <c r="AB85" s="85"/>
      <c r="AK85" s="431" t="s">
        <v>62</v>
      </c>
      <c r="AL85" s="432"/>
      <c r="AM85" s="433"/>
      <c r="AN85" s="102" t="s">
        <v>39</v>
      </c>
      <c r="BG85" s="40"/>
    </row>
    <row r="86" spans="6:59" ht="14.25" customHeight="1" x14ac:dyDescent="0.15">
      <c r="F86" s="235"/>
      <c r="G86" s="40"/>
      <c r="H86" s="186">
        <v>0</v>
      </c>
      <c r="I86" s="170"/>
      <c r="J86" s="40"/>
      <c r="K86" s="188" t="s">
        <v>198</v>
      </c>
      <c r="L86" s="74">
        <v>0</v>
      </c>
      <c r="M86" s="172"/>
      <c r="N86" s="84">
        <v>0</v>
      </c>
      <c r="O86" s="87" t="s">
        <v>198</v>
      </c>
      <c r="P86" s="174"/>
      <c r="Q86" s="88">
        <v>0</v>
      </c>
      <c r="R86" s="82">
        <v>0</v>
      </c>
      <c r="S86" s="83">
        <v>0</v>
      </c>
      <c r="T86" s="84">
        <v>0</v>
      </c>
      <c r="U86" s="177"/>
      <c r="V86" s="174"/>
      <c r="W86" s="82">
        <v>0</v>
      </c>
      <c r="X86" s="82">
        <v>0</v>
      </c>
      <c r="Y86" s="83">
        <v>0</v>
      </c>
      <c r="Z86" s="84">
        <v>0</v>
      </c>
      <c r="AA86" s="40"/>
      <c r="AB86" s="84">
        <v>0</v>
      </c>
      <c r="AK86" s="431" t="s">
        <v>59</v>
      </c>
      <c r="AL86" s="432"/>
      <c r="AM86" s="433"/>
      <c r="AN86" s="102" t="s">
        <v>61</v>
      </c>
      <c r="BG86" s="40"/>
    </row>
    <row r="87" spans="6:59" ht="14.25" customHeight="1" x14ac:dyDescent="0.15">
      <c r="F87" s="235"/>
      <c r="G87" s="40"/>
      <c r="H87" s="187"/>
      <c r="I87" s="91">
        <v>0</v>
      </c>
      <c r="J87" s="40"/>
      <c r="K87" s="134"/>
      <c r="L87" s="74"/>
      <c r="M87" s="75"/>
      <c r="N87" s="76"/>
      <c r="O87" s="87" t="s">
        <v>198</v>
      </c>
      <c r="P87" s="175"/>
      <c r="Q87" s="88">
        <v>0</v>
      </c>
      <c r="R87" s="100">
        <v>0</v>
      </c>
      <c r="S87" s="101"/>
      <c r="T87" s="92"/>
      <c r="U87" s="178"/>
      <c r="V87" s="174"/>
      <c r="W87" s="100">
        <v>0</v>
      </c>
      <c r="X87" s="82">
        <v>0</v>
      </c>
      <c r="Y87" s="83"/>
      <c r="Z87" s="92">
        <v>0</v>
      </c>
      <c r="AA87" s="40"/>
      <c r="AB87" s="93"/>
      <c r="AK87" s="124" t="s">
        <v>86</v>
      </c>
      <c r="AL87" s="125"/>
      <c r="AM87" s="126"/>
      <c r="AN87" s="102" t="s">
        <v>89</v>
      </c>
      <c r="BG87" s="40"/>
    </row>
    <row r="88" spans="6:59" ht="14.25" customHeight="1" x14ac:dyDescent="0.15">
      <c r="F88" s="235" t="s">
        <v>26</v>
      </c>
      <c r="G88" s="40"/>
      <c r="H88" s="169"/>
      <c r="I88" s="189" t="s">
        <v>198</v>
      </c>
      <c r="J88" s="40"/>
      <c r="K88" s="148"/>
      <c r="L88" s="95"/>
      <c r="M88" s="96"/>
      <c r="N88" s="85"/>
      <c r="O88" s="77" t="s">
        <v>198</v>
      </c>
      <c r="P88" s="173"/>
      <c r="Q88" s="78">
        <v>0</v>
      </c>
      <c r="R88" s="79">
        <v>0</v>
      </c>
      <c r="S88" s="80"/>
      <c r="T88" s="81">
        <v>0</v>
      </c>
      <c r="U88" s="176"/>
      <c r="V88" s="173"/>
      <c r="W88" s="82">
        <v>0</v>
      </c>
      <c r="X88" s="79">
        <v>0</v>
      </c>
      <c r="Y88" s="80"/>
      <c r="Z88" s="84">
        <v>0</v>
      </c>
      <c r="AA88" s="40"/>
      <c r="AB88" s="76"/>
      <c r="AK88" s="124" t="s">
        <v>88</v>
      </c>
      <c r="AL88" s="125"/>
      <c r="AM88" s="126"/>
      <c r="AN88" s="102" t="s">
        <v>254</v>
      </c>
      <c r="BG88" s="40"/>
    </row>
    <row r="89" spans="6:59" ht="14.25" customHeight="1" x14ac:dyDescent="0.15">
      <c r="F89" s="235"/>
      <c r="G89" s="40"/>
      <c r="H89" s="186">
        <v>0</v>
      </c>
      <c r="I89" s="170"/>
      <c r="J89" s="40"/>
      <c r="K89" s="188" t="s">
        <v>198</v>
      </c>
      <c r="L89" s="74">
        <v>0</v>
      </c>
      <c r="M89" s="172"/>
      <c r="N89" s="84">
        <v>0</v>
      </c>
      <c r="O89" s="87" t="s">
        <v>198</v>
      </c>
      <c r="P89" s="174"/>
      <c r="Q89" s="88">
        <v>0</v>
      </c>
      <c r="R89" s="82">
        <v>0</v>
      </c>
      <c r="S89"/>
      <c r="T89" s="84">
        <v>0</v>
      </c>
      <c r="U89" s="177"/>
      <c r="V89" s="174"/>
      <c r="W89" s="82">
        <v>0</v>
      </c>
      <c r="X89" s="82">
        <v>0</v>
      </c>
      <c r="Y89" s="83">
        <v>0</v>
      </c>
      <c r="Z89" s="84">
        <v>0</v>
      </c>
      <c r="AA89" s="40"/>
      <c r="AB89" s="84">
        <v>0</v>
      </c>
      <c r="AK89" s="124"/>
      <c r="AL89" s="125"/>
      <c r="AM89" s="126"/>
      <c r="AN89" s="102"/>
    </row>
    <row r="90" spans="6:59" ht="14.25" customHeight="1" x14ac:dyDescent="0.15">
      <c r="F90" s="235"/>
      <c r="G90" s="40"/>
      <c r="H90" s="186"/>
      <c r="I90" s="91">
        <v>0</v>
      </c>
      <c r="J90" s="40"/>
      <c r="K90" s="150"/>
      <c r="L90" s="98"/>
      <c r="M90" s="99"/>
      <c r="N90" s="93"/>
      <c r="O90" s="87" t="s">
        <v>198</v>
      </c>
      <c r="P90" s="175"/>
      <c r="Q90" s="88">
        <v>0</v>
      </c>
      <c r="R90" s="100">
        <v>0</v>
      </c>
      <c r="S90" s="101"/>
      <c r="T90" s="92"/>
      <c r="U90" s="178"/>
      <c r="V90" s="175"/>
      <c r="W90" s="100">
        <v>0</v>
      </c>
      <c r="X90" s="100">
        <v>0</v>
      </c>
      <c r="Y90" s="101"/>
      <c r="Z90" s="92">
        <v>0</v>
      </c>
      <c r="AA90" s="40"/>
      <c r="AB90" s="76"/>
    </row>
    <row r="91" spans="6:59" ht="14.25" customHeight="1" x14ac:dyDescent="0.15">
      <c r="F91" s="235" t="s">
        <v>27</v>
      </c>
      <c r="G91" s="40"/>
      <c r="H91" s="168"/>
      <c r="I91" s="189" t="s">
        <v>198</v>
      </c>
      <c r="J91" s="40"/>
      <c r="K91" s="134"/>
      <c r="L91" s="74"/>
      <c r="M91" s="75"/>
      <c r="N91" s="76"/>
      <c r="O91" s="77" t="s">
        <v>198</v>
      </c>
      <c r="P91" s="173"/>
      <c r="Q91" s="78">
        <v>0</v>
      </c>
      <c r="R91" s="79">
        <v>0</v>
      </c>
      <c r="S91" s="80"/>
      <c r="T91" s="81">
        <v>0</v>
      </c>
      <c r="U91" s="176"/>
      <c r="V91" s="174"/>
      <c r="W91" s="82">
        <v>0</v>
      </c>
      <c r="X91" s="82">
        <v>0</v>
      </c>
      <c r="Y91" s="83"/>
      <c r="Z91" s="84">
        <v>0</v>
      </c>
      <c r="AA91" s="40"/>
      <c r="AB91" s="85"/>
    </row>
    <row r="92" spans="6:59" ht="14.25" customHeight="1" x14ac:dyDescent="0.15">
      <c r="F92" s="235"/>
      <c r="G92" s="40"/>
      <c r="H92" s="186">
        <v>0</v>
      </c>
      <c r="I92" s="170"/>
      <c r="J92" s="40"/>
      <c r="K92"/>
      <c r="L92"/>
      <c r="M92" s="172"/>
      <c r="N92" s="84">
        <v>0</v>
      </c>
      <c r="O92" s="87" t="s">
        <v>198</v>
      </c>
      <c r="P92" s="174"/>
      <c r="Q92" s="88">
        <v>0</v>
      </c>
      <c r="R92" s="82">
        <v>0</v>
      </c>
      <c r="S92" s="83">
        <v>0</v>
      </c>
      <c r="T92" s="84">
        <v>0</v>
      </c>
      <c r="U92" s="177"/>
      <c r="V92" s="174"/>
      <c r="W92" s="82">
        <v>0</v>
      </c>
      <c r="X92" s="82">
        <v>0</v>
      </c>
      <c r="Y92" s="83">
        <v>0</v>
      </c>
      <c r="Z92" s="84">
        <v>0</v>
      </c>
      <c r="AA92" s="40"/>
      <c r="AB92" s="84">
        <v>0</v>
      </c>
      <c r="AK92" s="102"/>
      <c r="AL92" s="102"/>
    </row>
    <row r="93" spans="6:59" ht="14.25" customHeight="1" x14ac:dyDescent="0.15">
      <c r="F93" s="235"/>
      <c r="G93" s="40"/>
      <c r="H93" s="187"/>
      <c r="I93" s="91">
        <v>0</v>
      </c>
      <c r="J93" s="40"/>
      <c r="K93" s="134"/>
      <c r="L93" s="74"/>
      <c r="M93" s="75"/>
      <c r="N93" s="76"/>
      <c r="O93" s="87" t="s">
        <v>198</v>
      </c>
      <c r="P93" s="175"/>
      <c r="Q93" s="88">
        <v>0</v>
      </c>
      <c r="R93"/>
      <c r="S93" s="101"/>
      <c r="T93" s="92"/>
      <c r="U93" s="178"/>
      <c r="V93" s="174"/>
      <c r="W93" s="100">
        <v>0</v>
      </c>
      <c r="X93" s="82">
        <v>0</v>
      </c>
      <c r="Y93" s="83"/>
      <c r="Z93" s="92">
        <v>0</v>
      </c>
      <c r="AA93" s="40"/>
      <c r="AB93" s="93"/>
      <c r="AK93" s="102" t="s">
        <v>65</v>
      </c>
      <c r="AL93" s="102" t="s">
        <v>65</v>
      </c>
    </row>
    <row r="94" spans="6:59" ht="14.25" customHeight="1" x14ac:dyDescent="0.15">
      <c r="F94" s="235" t="s">
        <v>28</v>
      </c>
      <c r="G94" s="40"/>
      <c r="H94" s="169"/>
      <c r="I94" s="189" t="s">
        <v>198</v>
      </c>
      <c r="J94" s="40"/>
      <c r="K94" s="148"/>
      <c r="L94" s="95"/>
      <c r="M94" s="96"/>
      <c r="N94" s="85"/>
      <c r="O94" s="77" t="s">
        <v>198</v>
      </c>
      <c r="P94" s="173"/>
      <c r="Q94" s="78">
        <v>0</v>
      </c>
      <c r="R94" s="79">
        <v>0</v>
      </c>
      <c r="S94" s="80"/>
      <c r="T94" s="81">
        <v>0</v>
      </c>
      <c r="U94" s="176"/>
      <c r="V94" s="173"/>
      <c r="W94" s="82">
        <v>0</v>
      </c>
      <c r="X94" s="79">
        <v>0</v>
      </c>
      <c r="Y94" s="80"/>
      <c r="Z94" s="84">
        <v>0</v>
      </c>
      <c r="AA94" s="40"/>
      <c r="AB94" s="76"/>
      <c r="AK94" s="102" t="s">
        <v>66</v>
      </c>
      <c r="AL94" s="57" t="s">
        <v>6</v>
      </c>
    </row>
    <row r="95" spans="6:59" ht="14.25" customHeight="1" x14ac:dyDescent="0.15">
      <c r="F95" s="235"/>
      <c r="G95" s="40"/>
      <c r="H95" s="186">
        <v>0</v>
      </c>
      <c r="I95" s="170"/>
      <c r="J95" s="40"/>
      <c r="K95" s="188" t="s">
        <v>198</v>
      </c>
      <c r="L95" s="74">
        <v>0</v>
      </c>
      <c r="M95" s="172"/>
      <c r="N95" s="84">
        <v>0</v>
      </c>
      <c r="O95" s="87" t="s">
        <v>198</v>
      </c>
      <c r="P95" s="174"/>
      <c r="Q95" s="88">
        <v>0</v>
      </c>
      <c r="R95" s="82">
        <v>0</v>
      </c>
      <c r="S95" s="83">
        <v>0</v>
      </c>
      <c r="T95" s="84">
        <v>0</v>
      </c>
      <c r="U95" s="177"/>
      <c r="V95" s="174"/>
      <c r="W95" s="82">
        <v>0</v>
      </c>
      <c r="X95" s="82">
        <v>0</v>
      </c>
      <c r="Y95" s="83">
        <v>0</v>
      </c>
      <c r="Z95" s="84">
        <v>0</v>
      </c>
      <c r="AA95" s="40"/>
      <c r="AB95" s="84">
        <v>0</v>
      </c>
      <c r="AK95" s="57" t="s">
        <v>6</v>
      </c>
      <c r="AL95" s="57" t="s">
        <v>67</v>
      </c>
    </row>
    <row r="96" spans="6:59" ht="14.25" customHeight="1" x14ac:dyDescent="0.15">
      <c r="F96" s="235"/>
      <c r="G96" s="40"/>
      <c r="H96" s="186"/>
      <c r="I96" s="91">
        <v>0</v>
      </c>
      <c r="J96" s="40"/>
      <c r="K96" s="150"/>
      <c r="L96"/>
      <c r="M96"/>
      <c r="N96" s="93"/>
      <c r="O96" s="87" t="s">
        <v>198</v>
      </c>
      <c r="P96" s="175"/>
      <c r="Q96" s="88">
        <v>0</v>
      </c>
      <c r="R96" s="100">
        <v>0</v>
      </c>
      <c r="S96" s="101"/>
      <c r="T96" s="92"/>
      <c r="U96" s="178"/>
      <c r="V96" s="175"/>
      <c r="W96" s="100">
        <v>0</v>
      </c>
      <c r="X96" s="100">
        <v>0</v>
      </c>
      <c r="Y96" s="101"/>
      <c r="Z96" s="92">
        <v>0</v>
      </c>
      <c r="AA96" s="40"/>
      <c r="AB96" s="76"/>
      <c r="AK96" s="57" t="s">
        <v>67</v>
      </c>
      <c r="AL96" s="57" t="s">
        <v>68</v>
      </c>
    </row>
    <row r="97" spans="6:55" ht="14.25" customHeight="1" x14ac:dyDescent="0.15">
      <c r="F97" s="235" t="s">
        <v>29</v>
      </c>
      <c r="G97" s="40"/>
      <c r="H97" s="168"/>
      <c r="I97" s="189" t="s">
        <v>198</v>
      </c>
      <c r="J97" s="40"/>
      <c r="K97" s="134"/>
      <c r="L97" s="74"/>
      <c r="M97" s="75"/>
      <c r="N97" s="76"/>
      <c r="O97" s="77" t="s">
        <v>198</v>
      </c>
      <c r="P97" s="173"/>
      <c r="Q97" s="78">
        <v>0</v>
      </c>
      <c r="R97" s="79">
        <v>0</v>
      </c>
      <c r="S97" s="80"/>
      <c r="T97" s="81">
        <v>0</v>
      </c>
      <c r="U97" s="176"/>
      <c r="V97" s="174"/>
      <c r="W97" s="82">
        <v>0</v>
      </c>
      <c r="X97" s="82">
        <v>0</v>
      </c>
      <c r="Y97" s="83"/>
      <c r="Z97" s="84">
        <v>0</v>
      </c>
      <c r="AA97" s="40"/>
      <c r="AB97" s="85"/>
      <c r="AK97" s="57" t="s">
        <v>68</v>
      </c>
      <c r="AL97" s="57" t="s">
        <v>69</v>
      </c>
    </row>
    <row r="98" spans="6:55" ht="14.25" customHeight="1" x14ac:dyDescent="0.15">
      <c r="F98" s="235"/>
      <c r="G98" s="40"/>
      <c r="H98" s="186">
        <v>0</v>
      </c>
      <c r="I98" s="170"/>
      <c r="J98" s="40"/>
      <c r="K98" s="188" t="s">
        <v>198</v>
      </c>
      <c r="L98" s="74">
        <v>0</v>
      </c>
      <c r="M98" s="172"/>
      <c r="N98" s="84">
        <v>0</v>
      </c>
      <c r="O98" s="87" t="s">
        <v>198</v>
      </c>
      <c r="P98" s="174"/>
      <c r="Q98" s="88">
        <v>0</v>
      </c>
      <c r="R98" s="82">
        <v>0</v>
      </c>
      <c r="S98" s="83">
        <v>0</v>
      </c>
      <c r="T98" s="84">
        <v>0</v>
      </c>
      <c r="U98" s="177"/>
      <c r="V98" s="174"/>
      <c r="W98" s="82">
        <v>0</v>
      </c>
      <c r="X98" s="82">
        <v>0</v>
      </c>
      <c r="Y98" s="83">
        <v>0</v>
      </c>
      <c r="Z98" s="84">
        <v>0</v>
      </c>
      <c r="AA98" s="40"/>
      <c r="AB98" s="84">
        <v>0</v>
      </c>
      <c r="AK98" s="57" t="s">
        <v>69</v>
      </c>
      <c r="AL98" s="102" t="s">
        <v>41</v>
      </c>
    </row>
    <row r="99" spans="6:55" ht="14.25" customHeight="1" x14ac:dyDescent="0.15">
      <c r="F99" s="235"/>
      <c r="G99" s="40"/>
      <c r="H99" s="187"/>
      <c r="I99" s="91">
        <v>0</v>
      </c>
      <c r="J99" s="40"/>
      <c r="K99" s="134"/>
      <c r="L99" s="74"/>
      <c r="M99" s="75"/>
      <c r="N99" s="76"/>
      <c r="O99" s="87" t="s">
        <v>198</v>
      </c>
      <c r="P99" s="175"/>
      <c r="Q99" s="88">
        <v>0</v>
      </c>
      <c r="R99" s="100">
        <v>0</v>
      </c>
      <c r="S99" s="101"/>
      <c r="T99" s="92"/>
      <c r="U99" s="178"/>
      <c r="V99" s="174"/>
      <c r="W99" s="100">
        <v>0</v>
      </c>
      <c r="X99" s="82">
        <v>0</v>
      </c>
      <c r="Y99" s="83"/>
      <c r="Z99" s="92">
        <v>0</v>
      </c>
      <c r="AA99" s="40"/>
      <c r="AB99" s="93"/>
      <c r="AK99" s="102" t="s">
        <v>41</v>
      </c>
      <c r="AL99" s="102" t="s">
        <v>70</v>
      </c>
    </row>
    <row r="100" spans="6:55" ht="14.25" customHeight="1" x14ac:dyDescent="0.15">
      <c r="F100" s="235" t="s">
        <v>30</v>
      </c>
      <c r="G100" s="40"/>
      <c r="H100" s="169"/>
      <c r="I100" s="189" t="s">
        <v>198</v>
      </c>
      <c r="J100" s="40"/>
      <c r="K100" s="148"/>
      <c r="L100" s="95"/>
      <c r="M100" s="96"/>
      <c r="N100" s="85"/>
      <c r="O100" s="77" t="s">
        <v>198</v>
      </c>
      <c r="P100" s="173"/>
      <c r="Q100" s="78">
        <v>0</v>
      </c>
      <c r="R100" s="79">
        <v>0</v>
      </c>
      <c r="S100" s="80"/>
      <c r="T100" s="81">
        <v>0</v>
      </c>
      <c r="U100" s="176"/>
      <c r="V100" s="173"/>
      <c r="W100" s="82">
        <v>0</v>
      </c>
      <c r="X100" s="79">
        <v>0</v>
      </c>
      <c r="Y100" s="80"/>
      <c r="Z100" s="84">
        <v>0</v>
      </c>
      <c r="AA100" s="40"/>
      <c r="AB100" s="76"/>
      <c r="AK100" s="102" t="s">
        <v>70</v>
      </c>
    </row>
    <row r="101" spans="6:55" ht="14.25" customHeight="1" x14ac:dyDescent="0.15">
      <c r="F101" s="235"/>
      <c r="G101" s="40"/>
      <c r="H101" s="186">
        <v>0</v>
      </c>
      <c r="I101" s="170"/>
      <c r="J101" s="40"/>
      <c r="K101" s="188" t="s">
        <v>198</v>
      </c>
      <c r="L101" s="74">
        <v>0</v>
      </c>
      <c r="M101" s="172"/>
      <c r="N101" s="84">
        <v>0</v>
      </c>
      <c r="O101" s="87" t="s">
        <v>198</v>
      </c>
      <c r="P101" s="174"/>
      <c r="Q101" s="88">
        <v>0</v>
      </c>
      <c r="R101" s="82">
        <v>0</v>
      </c>
      <c r="S101" s="83">
        <v>0</v>
      </c>
      <c r="T101" s="84">
        <v>0</v>
      </c>
      <c r="U101" s="177"/>
      <c r="V101" s="174"/>
      <c r="W101" s="82">
        <v>0</v>
      </c>
      <c r="X101" s="82">
        <v>0</v>
      </c>
      <c r="Y101" s="83">
        <v>0</v>
      </c>
      <c r="Z101" s="84">
        <v>0</v>
      </c>
      <c r="AA101" s="40"/>
      <c r="AB101" s="84">
        <v>0</v>
      </c>
      <c r="AK101" s="102" t="s">
        <v>172</v>
      </c>
    </row>
    <row r="102" spans="6:55" ht="14.25" customHeight="1" x14ac:dyDescent="0.15">
      <c r="F102" s="235"/>
      <c r="G102" s="40"/>
      <c r="H102" s="186"/>
      <c r="I102" s="91">
        <v>0</v>
      </c>
      <c r="J102" s="40"/>
      <c r="K102" s="150"/>
      <c r="L102" s="98"/>
      <c r="M102" s="99"/>
      <c r="N102" s="93"/>
      <c r="O102" s="87" t="s">
        <v>198</v>
      </c>
      <c r="P102" s="175"/>
      <c r="Q102" s="88">
        <v>0</v>
      </c>
      <c r="R102" s="100">
        <v>0</v>
      </c>
      <c r="S102" s="101"/>
      <c r="T102" s="92"/>
      <c r="U102" s="178"/>
      <c r="V102" s="175"/>
      <c r="W102" s="100">
        <v>0</v>
      </c>
      <c r="X102" s="100">
        <v>0</v>
      </c>
      <c r="Y102" s="101"/>
      <c r="Z102" s="92">
        <v>0</v>
      </c>
      <c r="AA102" s="40"/>
      <c r="AB102" s="76"/>
      <c r="AK102" s="102" t="s">
        <v>173</v>
      </c>
    </row>
    <row r="103" spans="6:55" ht="14.25" customHeight="1" x14ac:dyDescent="0.15">
      <c r="F103" s="235" t="s">
        <v>31</v>
      </c>
      <c r="G103" s="40"/>
      <c r="H103" s="168"/>
      <c r="I103" s="189" t="s">
        <v>198</v>
      </c>
      <c r="J103" s="40"/>
      <c r="K103" s="134"/>
      <c r="L103" s="74"/>
      <c r="M103" s="75"/>
      <c r="N103" s="76"/>
      <c r="O103" s="77" t="s">
        <v>198</v>
      </c>
      <c r="P103" s="173"/>
      <c r="Q103" s="79">
        <v>0</v>
      </c>
      <c r="R103" s="79">
        <v>0</v>
      </c>
      <c r="S103" s="80"/>
      <c r="T103" s="81">
        <v>0</v>
      </c>
      <c r="U103" s="176"/>
      <c r="V103" s="174"/>
      <c r="W103" s="82">
        <v>0</v>
      </c>
      <c r="X103" s="82">
        <v>0</v>
      </c>
      <c r="Y103" s="83"/>
      <c r="Z103" s="84">
        <v>0</v>
      </c>
      <c r="AA103" s="40"/>
      <c r="AB103" s="85"/>
      <c r="AK103" s="102" t="s">
        <v>174</v>
      </c>
    </row>
    <row r="104" spans="6:55" ht="14.25" customHeight="1" x14ac:dyDescent="0.15">
      <c r="F104" s="235"/>
      <c r="G104" s="40"/>
      <c r="H104" s="186">
        <v>0</v>
      </c>
      <c r="I104" s="170"/>
      <c r="J104" s="40"/>
      <c r="K104" s="188" t="s">
        <v>198</v>
      </c>
      <c r="L104" s="74">
        <v>0</v>
      </c>
      <c r="M104" s="172"/>
      <c r="N104" s="84">
        <v>0</v>
      </c>
      <c r="O104" s="87" t="s">
        <v>198</v>
      </c>
      <c r="P104" s="174"/>
      <c r="Q104" s="82">
        <v>0</v>
      </c>
      <c r="R104" s="82">
        <v>0</v>
      </c>
      <c r="S104" s="83">
        <v>0</v>
      </c>
      <c r="T104" s="84">
        <v>0</v>
      </c>
      <c r="U104" s="177"/>
      <c r="V104" s="174"/>
      <c r="W104" s="82">
        <v>0</v>
      </c>
      <c r="X104" s="82">
        <v>0</v>
      </c>
      <c r="Y104" s="83">
        <v>0</v>
      </c>
      <c r="Z104" s="84">
        <v>0</v>
      </c>
      <c r="AA104" s="40"/>
      <c r="AB104" s="84">
        <v>0</v>
      </c>
    </row>
    <row r="105" spans="6:55" ht="14.25" customHeight="1" thickBot="1" x14ac:dyDescent="0.2">
      <c r="F105" s="236"/>
      <c r="G105" s="40"/>
      <c r="H105" s="187"/>
      <c r="I105" s="91">
        <v>0</v>
      </c>
      <c r="J105" s="40"/>
      <c r="K105" s="97"/>
      <c r="L105" s="98"/>
      <c r="M105" s="99"/>
      <c r="N105" s="110"/>
      <c r="O105" s="111" t="s">
        <v>198</v>
      </c>
      <c r="P105" s="175"/>
      <c r="Q105" s="100">
        <v>0</v>
      </c>
      <c r="R105" s="100">
        <v>0</v>
      </c>
      <c r="S105" s="101"/>
      <c r="T105" s="112"/>
      <c r="U105" s="178"/>
      <c r="V105" s="175"/>
      <c r="W105" s="100">
        <v>0</v>
      </c>
      <c r="X105" s="100">
        <v>0</v>
      </c>
      <c r="Y105" s="101"/>
      <c r="Z105" s="112">
        <v>0</v>
      </c>
      <c r="AA105" s="40"/>
      <c r="AB105" s="110"/>
      <c r="AK105" s="105" t="s">
        <v>159</v>
      </c>
    </row>
    <row r="106" spans="6:55" ht="14.25" customHeight="1" thickBot="1" x14ac:dyDescent="0.2">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K106" s="51" t="s">
        <v>160</v>
      </c>
      <c r="AL106" s="51" t="s">
        <v>71</v>
      </c>
      <c r="AM106" s="51"/>
      <c r="AN106" s="357">
        <v>25</v>
      </c>
      <c r="AO106" s="243">
        <v>30</v>
      </c>
      <c r="AP106" s="51">
        <v>32</v>
      </c>
      <c r="AQ106" s="51">
        <v>40</v>
      </c>
      <c r="AR106" s="51">
        <v>50</v>
      </c>
      <c r="AT106" s="231" t="s">
        <v>143</v>
      </c>
      <c r="AU106" s="51">
        <v>32</v>
      </c>
      <c r="AV106" s="59" t="s">
        <v>147</v>
      </c>
      <c r="AW106" s="60"/>
      <c r="AX106" s="60"/>
      <c r="AY106" s="60"/>
      <c r="AZ106" s="229"/>
      <c r="BA106" s="60"/>
      <c r="BB106" s="60"/>
      <c r="BC106" s="61"/>
    </row>
    <row r="107" spans="6:55" ht="14.25" customHeight="1" thickBot="1" x14ac:dyDescent="0.2">
      <c r="F107" s="40"/>
      <c r="G107" s="40"/>
      <c r="H107" s="64" t="s">
        <v>20</v>
      </c>
      <c r="I107" s="53"/>
      <c r="J107" s="40"/>
      <c r="K107" s="40"/>
      <c r="L107" s="40"/>
      <c r="M107" s="40"/>
      <c r="N107" s="116">
        <f>N74+N77+N80+N83</f>
        <v>2.6</v>
      </c>
      <c r="O107" s="40"/>
      <c r="P107" s="40"/>
      <c r="Q107" s="40"/>
      <c r="R107" s="40"/>
      <c r="S107" s="40"/>
      <c r="T107" s="116">
        <f>T74+T77+T80+T83</f>
        <v>0.37000000000000011</v>
      </c>
      <c r="U107" s="40"/>
      <c r="V107" s="40"/>
      <c r="W107" s="40"/>
      <c r="X107" s="40"/>
      <c r="Y107" s="40"/>
      <c r="Z107" s="116">
        <f>Z76+Z78+Z81+Z84+Z82</f>
        <v>5.5500000000000007</v>
      </c>
      <c r="AA107" s="40"/>
      <c r="AB107" s="116">
        <f>AB74+AB77+AB80+AB83</f>
        <v>8.52</v>
      </c>
      <c r="AK107" s="423" t="s">
        <v>161</v>
      </c>
      <c r="AL107" s="424">
        <f>K11</f>
        <v>30</v>
      </c>
      <c r="AM107" s="51" t="s">
        <v>143</v>
      </c>
      <c r="AN107" s="357">
        <f>IF(AL107&lt;=25,5.7,IF(AND(AL107&gt;25,AL107&lt;=75),ROUNDUP(0.3/25*AL107+5.4,1),IF(AND(AL107&gt;75,AL107&lt;=100),ROUNDUP(0.4/25*AL107+5.1,1),ROUNDUP(0.5/25*AL107+4.7,1))))</f>
        <v>5.8</v>
      </c>
      <c r="AO107" s="243">
        <f>AP107</f>
        <v>5.6</v>
      </c>
      <c r="AP107" s="51">
        <f>IF(AL107&lt;=25,5.5,IF(AND(AL107&gt;25,AL107&lt;=100),ROUNDUP(0.8/75*AL107+5.2333,1),IF(AND(AL107&gt;100,AL107&lt;=150),ROUNDUP(0.7/50*AL107+4.9,1),ROUNDUP(1/50*AL107+4,1))))</f>
        <v>5.6</v>
      </c>
      <c r="AQ107" s="51">
        <f>IF(AL107&lt;=25,5.5,IF(AND(AL107&gt;25,AL107&lt;=100),ROUNDUP(0.7/60*AL107+5.0333,1),ROUNDUP(1/100*AL107+5.2,1)))</f>
        <v>5.3999999999999995</v>
      </c>
      <c r="AR107" s="51">
        <f>IF(AL107&lt;=50,5.9,IF(AND(AL107&gt;50,AL107&lt;=100),ROUNDUP(0.1/50*AL107+5.8,1),ROUNDUP(0.5/100*AL107+5.5,1)))</f>
        <v>5.9</v>
      </c>
      <c r="AT107" s="232"/>
      <c r="AU107" s="51">
        <v>40</v>
      </c>
      <c r="AV107" s="59" t="s">
        <v>146</v>
      </c>
      <c r="AW107" s="60"/>
      <c r="AX107" s="60"/>
      <c r="AY107" s="60"/>
      <c r="AZ107" s="229"/>
      <c r="BA107" s="60"/>
      <c r="BB107" s="60"/>
      <c r="BC107" s="61"/>
    </row>
    <row r="108" spans="6:55" ht="14.25" customHeight="1" x14ac:dyDescent="0.15">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K108" s="423"/>
      <c r="AL108" s="425"/>
      <c r="AM108" s="51" t="s">
        <v>144</v>
      </c>
      <c r="AN108" s="357">
        <f>IF(AL107&lt;=30,7.1,IF(AND(AL107&gt;30,AL107&lt;=50),ROUNDUP(-0.6/20*AL107+8,1),IF(AND(AL107&gt;50,AL107&lt;=100),ROUNDUP(0.1/50*AL107+6.4,1),IF(AND(AL107&gt;100,AL107&lt;=125),ROUNDUP(0.5/25*AL107+4.6,1),ROUNDUP(1.4/25*AL107+0.1,1)))))</f>
        <v>7.1</v>
      </c>
      <c r="AO108" s="243">
        <f t="shared" ref="AO108:AO139" si="31">AP108</f>
        <v>6.8</v>
      </c>
      <c r="AP108" s="51">
        <f>IF(AL107&lt;=25,ROUNDUP(0.8/25*AL107+5.9,1),IF(AND(AL107&gt;25,AL107&lt;=50),ROUNDUP(0.4/25*AL107+6.3,1),IF(AND(AL107&gt;50,AL107&lt;=70),ROUNDUP(0.1/20*AL107+6.85,1),IF(AND(AL107&gt;70,AL107&lt;=100),ROUNDUP(-0.1/30*AL107+7.4333,1),IF(AND(AL107&gt;100,AL107&lt;=150),ROUNDUP(0.4/50*AL107+6.3,1),ROUNDUP(0.7/50*AL107+5.4,1))))))</f>
        <v>6.8</v>
      </c>
      <c r="AQ108" s="51">
        <f>IF(AL107&lt;=25,ROUNDUP(0.7/25*AL107+5.8,1),IF(AND(AL107&gt;25,AL107&lt;=50),ROUNDUP(0.4/25*AL107+6.1,1),IF(AND(AL107&gt;50,AL107&lt;=75),ROUNDUP(0.3/25*AL107+6.3,1),IF(AND(AL107&gt;75,AL107&lt;=100),ROUNDUP(0.1/25*AL107+6.9,1),IF(AND(AL107&gt;100,AL107&lt;=120),7.3,IF(AND(AL107&gt;120,AL107&lt;=160),ROUNDUP(-0.2/40*AL107+7.9,1),ROUNDUP(0.3/40*AL107+5.9,1)))))))</f>
        <v>6.6</v>
      </c>
      <c r="AR108" s="51">
        <f>IF(AL107&lt;=50,ROUNDUP(0.75/100*AL107+5.6,1),ROUNDUP(0.15/100*AL107+6.2,1))</f>
        <v>5.8999999999999995</v>
      </c>
      <c r="AT108" s="233"/>
      <c r="AU108" s="51">
        <v>50</v>
      </c>
      <c r="AV108" s="59" t="s">
        <v>152</v>
      </c>
      <c r="AW108" s="60"/>
      <c r="AX108" s="60"/>
      <c r="AY108" s="60"/>
      <c r="AZ108" s="229"/>
      <c r="BA108" s="60"/>
      <c r="BB108" s="60"/>
      <c r="BC108" s="61"/>
    </row>
    <row r="109" spans="6:55" ht="14.25" customHeight="1" x14ac:dyDescent="0.15">
      <c r="F109" s="64" t="s">
        <v>32</v>
      </c>
      <c r="G109" s="66"/>
      <c r="H109" s="53"/>
      <c r="I109" s="127">
        <f>AB107</f>
        <v>8.52</v>
      </c>
      <c r="J109" s="60"/>
      <c r="K109" s="335" t="s">
        <v>33</v>
      </c>
      <c r="L109" s="118" t="s">
        <v>43</v>
      </c>
      <c r="M109" s="54"/>
      <c r="N109" s="54"/>
      <c r="O109" s="40"/>
      <c r="P109" s="40"/>
      <c r="Q109" s="40"/>
      <c r="R109" s="40"/>
      <c r="S109" s="40"/>
      <c r="T109" s="40"/>
      <c r="U109" s="40"/>
      <c r="V109" s="40"/>
      <c r="W109" s="40"/>
      <c r="X109" s="40"/>
      <c r="Y109" s="40"/>
      <c r="Z109" s="40"/>
      <c r="AA109" s="40"/>
      <c r="AB109" s="40"/>
      <c r="AK109" s="423"/>
      <c r="AL109" s="426"/>
      <c r="AM109" s="51" t="s">
        <v>145</v>
      </c>
      <c r="AN109" s="357">
        <f>IF(AL107&lt;=20,6.1,IF(AND(AL107&gt;20,AL107&lt;=50),ROUNDUP(0.4/30*AL107+5.8333,1),IF(AND(AL107&gt;50,AL107&lt;=100),ROUNDUP(0.4/50*AL107+6.1,1),ROUNDUP(3.3/150*AL107+4.7,1))))</f>
        <v>6.3</v>
      </c>
      <c r="AO109" s="243">
        <f t="shared" si="31"/>
        <v>6</v>
      </c>
      <c r="AP109" s="51">
        <f>IF(AL107&lt;=8,5.6,IF(AND(AL107&gt;8,AL107&lt;=17),ROUNDUP(0.3/9*AL107+5.3333,1),IF(AND(AL107&gt;17,AL107&lt;=135),ROUNDUP(0.4/118*AL107+5.8423,1),ROUNDUP(1.1/65*AL107+4.0153,1))))</f>
        <v>6</v>
      </c>
      <c r="AQ109" s="51">
        <f>IF(AL107&lt;=8,5.6,IF(AND(AL107&gt;8,AL107&lt;=10),ROUNDUP(0.3/2*AL107+4.4,1),IF(AND(AL107&gt;10,AL107&lt;=17),ROUNDUP(0.1/7*AL107+5.7571,1),IF(AND(AL107&gt;17,AL107&lt;=50),ROUNDUP(0.3/33*AL107+5.8454,1),IF(AND(AL107&gt;50,AL107&lt;=150),ROUNDUP(0.3/100*AL107+6.15,1),ROUNDUP(0.2/50*AL107+6,1))))))</f>
        <v>6.1999999999999993</v>
      </c>
      <c r="AR109" s="51">
        <f>IF(AL107&lt;=10,5.5,IF(AND(AL107&gt;10,AL107&lt;=68),ROUNDUP(0.7/58*AL107+5.3793,1),IF(AND(AL107&gt;68,AL107&lt;=138),ROUNDUP(0.4/70*AL107+5.8114,1),ROUNDUP(0.1/62*AL107+6.3774,1))))</f>
        <v>5.8</v>
      </c>
      <c r="AT109" s="234" t="s">
        <v>144</v>
      </c>
      <c r="AU109" s="51">
        <v>32</v>
      </c>
      <c r="AV109" s="59" t="s">
        <v>153</v>
      </c>
      <c r="AW109" s="60"/>
      <c r="AX109" s="60"/>
      <c r="AY109" s="60"/>
      <c r="AZ109" s="229"/>
      <c r="BA109" s="60"/>
      <c r="BB109" s="60"/>
      <c r="BC109" s="61"/>
    </row>
    <row r="110" spans="6:55" ht="14.25" customHeight="1" x14ac:dyDescent="0.15">
      <c r="F110" s="119" t="s">
        <v>49</v>
      </c>
      <c r="G110" s="54"/>
      <c r="H110" s="120"/>
      <c r="I110" s="128">
        <v>10</v>
      </c>
      <c r="J110" s="40"/>
      <c r="K110" s="335" t="s">
        <v>33</v>
      </c>
      <c r="L110" s="122">
        <v>0</v>
      </c>
      <c r="M110" s="54"/>
      <c r="N110" s="54"/>
      <c r="O110" s="40"/>
      <c r="P110" s="40"/>
      <c r="Q110" s="40"/>
      <c r="R110" s="40"/>
      <c r="S110" s="40"/>
      <c r="T110" s="40"/>
      <c r="U110" s="40"/>
      <c r="V110" s="40"/>
      <c r="W110" s="40"/>
      <c r="X110" s="40"/>
      <c r="Y110" s="40"/>
      <c r="Z110" s="40"/>
      <c r="AA110" s="40"/>
      <c r="AB110" s="40"/>
      <c r="AK110" s="423" t="s">
        <v>162</v>
      </c>
      <c r="AL110" s="424" t="str">
        <f t="shared" ref="AL110" si="32">K14</f>
        <v/>
      </c>
      <c r="AM110" s="51" t="s">
        <v>143</v>
      </c>
      <c r="AN110" s="357" t="e">
        <f t="shared" ref="AN110" si="33">IF(AL110&lt;=25,5.7,IF(AND(AL110&gt;25,AL110&lt;=75),ROUNDUP(0.3/25*AL110+5.4,1),IF(AND(AL110&gt;75,AL110&lt;=100),ROUNDUP(0.4/25*AL110+5.1,1),ROUNDUP(0.5/25*AL110+4.7,1))))</f>
        <v>#VALUE!</v>
      </c>
      <c r="AO110" s="243" t="e">
        <f t="shared" si="31"/>
        <v>#VALUE!</v>
      </c>
      <c r="AP110" s="51" t="e">
        <f>IF(AL110&lt;=25,5.5,IF(AND(AL110&gt;25,AL110&lt;=100),ROUNDUP(0.8/75*AL110+5.2333,1),IF(AND(AL110&gt;100,AL110&lt;=150),ROUNDUP(0.7/50*AL110+4.9,1),ROUNDUP(1/50*AL110+4,1))))</f>
        <v>#VALUE!</v>
      </c>
      <c r="AQ110" s="51" t="e">
        <f>IF(AL110&lt;=25,5.5,IF(AND(AL110&gt;25,AL110&lt;=100),ROUNDUP(0.7/60*AL110+5.0333,1),ROUNDUP(1/100*AL110+5.2,1)))</f>
        <v>#VALUE!</v>
      </c>
      <c r="AR110" s="51" t="e">
        <f>IF(AL110&lt;=50,5.9,IF(AND(AL110&gt;50,AL110&lt;=100),ROUNDUP(0.1/50*AL110+5.8,1),ROUNDUP(0.5/100*AL110+5.5,1)))</f>
        <v>#VALUE!</v>
      </c>
      <c r="AT110" s="235"/>
      <c r="AU110" s="51">
        <v>40</v>
      </c>
      <c r="AV110" s="59" t="s">
        <v>154</v>
      </c>
      <c r="AW110" s="60"/>
      <c r="AX110" s="60"/>
      <c r="AY110" s="60"/>
      <c r="AZ110" s="229"/>
      <c r="BA110" s="60"/>
      <c r="BB110" s="60"/>
      <c r="BC110" s="61"/>
    </row>
    <row r="111" spans="6:55" ht="14.25" customHeight="1" x14ac:dyDescent="0.15">
      <c r="F111" s="64" t="s">
        <v>34</v>
      </c>
      <c r="G111" s="66"/>
      <c r="H111" s="53"/>
      <c r="I111" s="219">
        <v>7</v>
      </c>
      <c r="J111" s="60"/>
      <c r="K111" s="335" t="s">
        <v>33</v>
      </c>
      <c r="L111" s="40"/>
      <c r="M111" s="40"/>
      <c r="N111" s="40"/>
      <c r="O111" s="336"/>
      <c r="P111" s="40"/>
      <c r="Q111" s="123"/>
      <c r="R111" s="336"/>
      <c r="S111" s="40"/>
      <c r="T111" s="123"/>
      <c r="U111" s="54"/>
      <c r="V111" s="54"/>
      <c r="W111" s="123"/>
      <c r="X111" s="123"/>
      <c r="Y111" s="54"/>
      <c r="Z111" s="54"/>
      <c r="AA111" s="54"/>
      <c r="AB111" s="123"/>
      <c r="AK111" s="423"/>
      <c r="AL111" s="425"/>
      <c r="AM111" s="51" t="s">
        <v>144</v>
      </c>
      <c r="AN111" s="357" t="e">
        <f t="shared" ref="AN111" si="34">IF(AL110&lt;=30,7.1,IF(AND(AL110&gt;30,AL110&lt;=50),ROUNDUP(-0.6/20*AL110+8,1),IF(AND(AL110&gt;50,AL110&lt;=100),ROUNDUP(0.1/50*AL110+6.4,1),IF(AND(AL110&gt;100,AL110&lt;=125),ROUNDUP(0.5/25*AL110+4.6,1),ROUNDUP(1.4/25*AL110+0.1,1)))))</f>
        <v>#VALUE!</v>
      </c>
      <c r="AO111" s="243" t="e">
        <f t="shared" si="31"/>
        <v>#VALUE!</v>
      </c>
      <c r="AP111" s="51" t="e">
        <f>IF(AL110&lt;=25,ROUNDUP(0.8/25*AL110+5.9,1),IF(AND(AL110&gt;25,AL110&lt;=50),ROUNDUP(0.4/25*AL110+6.3,1),IF(AND(AL110&gt;50,AL110&lt;=70),ROUNDUP(0.1/20*AL110+6.85,1),IF(AND(AL110&gt;70,AL110&lt;=100),ROUNDUP(-0.1/30*AL110+7.4333,1),IF(AND(AL110&gt;100,AL110&lt;=150),ROUNDUP(0.4/50*AL110+6.3,1),ROUNDUP(0.7/50*AL110+5.4,1))))))</f>
        <v>#VALUE!</v>
      </c>
      <c r="AQ111" s="51" t="e">
        <f>IF(AL110&lt;=25,ROUNDUP(0.7/25*AL110+5.8,1),IF(AND(AL110&gt;25,AL110&lt;=50),ROUNDUP(0.4/25*AL110+6.1,1),IF(AND(AL110&gt;50,AL110&lt;=75),ROUNDUP(0.3/25*AL110+6.3,1),IF(AND(AL110&gt;75,AL110&lt;=100),ROUNDUP(0.1/25*AL110+6.9,1),IF(AND(AL110&gt;100,AL110&lt;=120),7.3,IF(AND(AL110&gt;120,AL110&lt;=160),ROUNDUP(-0.2/40*AL110+7.9,1),ROUNDUP(0.3/40*AL110+5.9,1)))))))</f>
        <v>#VALUE!</v>
      </c>
      <c r="AR111" s="51" t="e">
        <f>IF(AL110&lt;=50,ROUNDUP(0.75/100*AL110+5.6,1),ROUNDUP(0.15/100*AL110+6.2,1))</f>
        <v>#VALUE!</v>
      </c>
      <c r="AT111" s="236"/>
      <c r="AU111" s="51">
        <v>50</v>
      </c>
      <c r="AV111" s="59" t="s">
        <v>155</v>
      </c>
      <c r="AW111" s="60"/>
      <c r="AX111" s="60"/>
      <c r="AY111" s="60"/>
      <c r="AZ111" s="229"/>
      <c r="BA111" s="60"/>
      <c r="BB111" s="60"/>
      <c r="BC111" s="61"/>
    </row>
    <row r="112" spans="6:55" ht="14.25" customHeight="1" x14ac:dyDescent="0.15">
      <c r="F112" s="119" t="s">
        <v>35</v>
      </c>
      <c r="G112" s="54"/>
      <c r="H112" s="120"/>
      <c r="I112" s="129">
        <f>I109+I110+I111</f>
        <v>25.52</v>
      </c>
      <c r="J112" s="40"/>
      <c r="K112" s="335" t="s">
        <v>33</v>
      </c>
      <c r="L112" s="40"/>
      <c r="M112" s="40"/>
      <c r="N112" s="40"/>
      <c r="O112" s="40"/>
      <c r="P112" s="40"/>
      <c r="Q112" s="54"/>
      <c r="R112" s="54"/>
      <c r="S112" s="54"/>
      <c r="T112" s="54"/>
      <c r="U112" s="54"/>
      <c r="V112" s="54"/>
      <c r="W112" s="54"/>
      <c r="X112" s="54"/>
      <c r="Y112" s="54"/>
      <c r="Z112" s="54"/>
      <c r="AA112" s="54"/>
      <c r="AB112" s="40"/>
      <c r="AK112" s="423"/>
      <c r="AL112" s="426"/>
      <c r="AM112" s="51" t="s">
        <v>145</v>
      </c>
      <c r="AN112" s="357" t="e">
        <f t="shared" ref="AN112" si="35">IF(AL110&lt;=20,6.1,IF(AND(AL110&gt;20,AL110&lt;=50),ROUNDUP(0.4/30*AL110+5.8333,1),IF(AND(AL110&gt;50,AL110&lt;=100),ROUNDUP(0.4/50*AL110+6.1,1),ROUNDUP(3.3/150*AL110+4.7,1))))</f>
        <v>#VALUE!</v>
      </c>
      <c r="AO112" s="243" t="e">
        <f t="shared" si="31"/>
        <v>#VALUE!</v>
      </c>
      <c r="AP112" s="51" t="e">
        <f>IF(AL110&lt;=8,5.6,IF(AND(AL110&gt;8,AL110&lt;=17),ROUNDUP(0.3/9*AL110+5.3333,1),IF(AND(AL110&gt;17,AL110&lt;=135),ROUNDUP(0.4/118*AL110+5.8423,1),ROUNDUP(1.1/65*AL110+4.0153,1))))</f>
        <v>#VALUE!</v>
      </c>
      <c r="AQ112" s="51" t="e">
        <f>IF(AL110&lt;=8,5.6,IF(AND(AL110&gt;8,AL110&lt;=10),ROUNDUP(0.3/2*AL110+4.4,1),IF(AND(AL110&gt;10,AL110&lt;=17),ROUNDUP(0.1/7*AL110+5.7571,1),IF(AND(AL110&gt;17,AL110&lt;=50),ROUNDUP(0.3/33*AL110+5.8454,1),IF(AND(AL110&gt;50,AL110&lt;=150),ROUNDUP(0.3/100*AL110+6.15,1),ROUNDUP(0.2/50*AL110+6,1))))))</f>
        <v>#VALUE!</v>
      </c>
      <c r="AR112" s="51" t="e">
        <f>IF(AL110&lt;=10,5.5,IF(AND(AL110&gt;10,AL110&lt;=68),ROUNDUP(0.7/58*AL110+5.3793,1),IF(AND(AL110&gt;68,AL110&lt;=138),ROUNDUP(0.4/70*AL110+5.8114,1),ROUNDUP(0.1/62*AL110+6.3774,1))))</f>
        <v>#VALUE!</v>
      </c>
      <c r="AT112" s="234" t="s">
        <v>145</v>
      </c>
      <c r="AU112" s="51">
        <v>32</v>
      </c>
      <c r="AV112" s="59" t="s">
        <v>148</v>
      </c>
      <c r="AW112" s="60"/>
      <c r="AX112" s="60"/>
      <c r="AY112" s="60"/>
      <c r="AZ112" s="229"/>
      <c r="BA112" s="60"/>
      <c r="BB112" s="60"/>
      <c r="BC112" s="61"/>
    </row>
    <row r="113" spans="6:55" ht="14.25" customHeight="1" x14ac:dyDescent="0.15">
      <c r="F113" s="64" t="s">
        <v>57</v>
      </c>
      <c r="G113" s="66"/>
      <c r="H113" s="53"/>
      <c r="I113" s="130">
        <v>1.1000000000000001</v>
      </c>
      <c r="J113" s="60"/>
      <c r="K113" s="335"/>
      <c r="L113" s="40"/>
      <c r="M113" s="40"/>
      <c r="N113" s="40"/>
      <c r="O113" s="40"/>
      <c r="P113" s="40"/>
      <c r="Q113" s="40"/>
      <c r="R113" s="40"/>
      <c r="S113" s="40"/>
      <c r="T113" s="40"/>
      <c r="U113" s="40"/>
      <c r="V113" s="40"/>
      <c r="W113" s="40"/>
      <c r="X113" s="40"/>
      <c r="Y113" s="40"/>
      <c r="Z113" s="40"/>
      <c r="AA113" s="40"/>
      <c r="AB113" s="40"/>
      <c r="AK113" s="423" t="s">
        <v>163</v>
      </c>
      <c r="AL113" s="424" t="str">
        <f t="shared" ref="AL113" si="36">K17</f>
        <v/>
      </c>
      <c r="AM113" s="51" t="s">
        <v>143</v>
      </c>
      <c r="AN113" s="357" t="e">
        <f t="shared" ref="AN113" si="37">IF(AL113&lt;=25,5.7,IF(AND(AL113&gt;25,AL113&lt;=75),ROUNDUP(0.3/25*AL113+5.4,1),IF(AND(AL113&gt;75,AL113&lt;=100),ROUNDUP(0.4/25*AL113+5.1,1),ROUNDUP(0.5/25*AL113+4.7,1))))</f>
        <v>#VALUE!</v>
      </c>
      <c r="AO113" s="243" t="e">
        <f t="shared" si="31"/>
        <v>#VALUE!</v>
      </c>
      <c r="AP113" s="51" t="e">
        <f>IF(AL113&lt;=25,5.5,IF(AND(AL113&gt;25,AL113&lt;=100),ROUNDUP(0.8/75*AL113+5.2333,1),IF(AND(AL113&gt;100,AL113&lt;=150),ROUNDUP(0.7/50*AL113+4.9,1),ROUNDUP(1/50*AL113+4,1))))</f>
        <v>#VALUE!</v>
      </c>
      <c r="AQ113" s="51" t="e">
        <f>IF(AL113&lt;=25,5.5,IF(AND(AL113&gt;25,AL113&lt;=100),ROUNDUP(0.7/60*AL113+5.0333,1),ROUNDUP(1/100*AL113+5.2,1)))</f>
        <v>#VALUE!</v>
      </c>
      <c r="AR113" s="51" t="e">
        <f>IF(AL113&lt;=50,5.9,IF(AND(AL113&gt;50,AL113&lt;=100),ROUNDUP(0.1/50*AL113+5.8,1),ROUNDUP(0.5/100*AL113+5.5,1)))</f>
        <v>#VALUE!</v>
      </c>
      <c r="AT113" s="235"/>
      <c r="AU113" s="51">
        <v>40</v>
      </c>
      <c r="AV113" s="59" t="s">
        <v>149</v>
      </c>
      <c r="AW113" s="60"/>
      <c r="AX113" s="60"/>
      <c r="AY113" s="60"/>
      <c r="AZ113" s="229"/>
      <c r="BA113" s="60"/>
      <c r="BB113" s="60"/>
      <c r="BC113" s="61"/>
    </row>
    <row r="114" spans="6:55" ht="14.25" customHeight="1" x14ac:dyDescent="0.15">
      <c r="F114" s="406" t="s">
        <v>79</v>
      </c>
      <c r="G114" s="407"/>
      <c r="H114" s="408"/>
      <c r="I114" s="215">
        <f>ROUNDUP(I112*I113,2)</f>
        <v>28.080000000000002</v>
      </c>
      <c r="J114" s="60"/>
      <c r="K114" s="335" t="s">
        <v>80</v>
      </c>
      <c r="L114" s="40"/>
      <c r="M114" s="54"/>
      <c r="N114" s="54"/>
      <c r="O114" s="40"/>
      <c r="P114" s="40"/>
      <c r="Q114" s="40"/>
      <c r="R114" s="40"/>
      <c r="S114" s="40"/>
      <c r="T114" s="40"/>
      <c r="U114" s="40"/>
      <c r="V114" s="40"/>
      <c r="W114" s="40"/>
      <c r="X114" s="40"/>
      <c r="Y114" s="40"/>
      <c r="Z114" s="40"/>
      <c r="AA114" s="40"/>
      <c r="AB114" s="40"/>
      <c r="AK114" s="423"/>
      <c r="AL114" s="425"/>
      <c r="AM114" s="51" t="s">
        <v>144</v>
      </c>
      <c r="AN114" s="357" t="e">
        <f t="shared" ref="AN114" si="38">IF(AL113&lt;=30,7.1,IF(AND(AL113&gt;30,AL113&lt;=50),ROUNDUP(-0.6/20*AL113+8,1),IF(AND(AL113&gt;50,AL113&lt;=100),ROUNDUP(0.1/50*AL113+6.4,1),IF(AND(AL113&gt;100,AL113&lt;=125),ROUNDUP(0.5/25*AL113+4.6,1),ROUNDUP(1.4/25*AL113+0.1,1)))))</f>
        <v>#VALUE!</v>
      </c>
      <c r="AO114" s="243" t="e">
        <f t="shared" si="31"/>
        <v>#VALUE!</v>
      </c>
      <c r="AP114" s="51" t="e">
        <f>IF(AL113&lt;=25,ROUNDUP(0.8/25*AL113+5.9,1),IF(AND(AL113&gt;25,AL113&lt;=50),ROUNDUP(0.4/25*AL113+6.3,1),IF(AND(AL113&gt;50,AL113&lt;=70),ROUNDUP(0.1/20*AL113+6.85,1),IF(AND(AL113&gt;70,AL113&lt;=100),ROUNDUP(-0.1/30*AL113+7.4333,1),IF(AND(AL113&gt;100,AL113&lt;=150),ROUNDUP(0.4/50*AL113+6.3,1),ROUNDUP(0.7/50*AL113+5.4,1))))))</f>
        <v>#VALUE!</v>
      </c>
      <c r="AQ114" s="51" t="e">
        <f>IF(AL113&lt;=25,ROUNDUP(0.7/25*AL113+5.8,1),IF(AND(AL113&gt;25,AL113&lt;=50),ROUNDUP(0.4/25*AL113+6.1,1),IF(AND(AL113&gt;50,AL113&lt;=75),ROUNDUP(0.3/25*AL113+6.3,1),IF(AND(AL113&gt;75,AL113&lt;=100),ROUNDUP(0.1/25*AL113+6.9,1),IF(AND(AL113&gt;100,AL113&lt;=120),7.3,IF(AND(AL113&gt;120,AL113&lt;=160),ROUNDUP(-0.2/40*AL113+7.9,1),ROUNDUP(0.3/40*AL113+5.9,1)))))))</f>
        <v>#VALUE!</v>
      </c>
      <c r="AR114" s="51" t="e">
        <f>IF(AL113&lt;=50,ROUNDUP(0.75/100*AL113+5.6,1),ROUNDUP(0.15/100*AL113+6.2,1))</f>
        <v>#VALUE!</v>
      </c>
      <c r="AT114" s="236"/>
      <c r="AU114" s="51">
        <v>50</v>
      </c>
      <c r="AV114" s="59" t="s">
        <v>150</v>
      </c>
      <c r="AW114" s="60"/>
      <c r="AX114" s="60"/>
      <c r="AY114" s="60"/>
      <c r="AZ114" s="229"/>
      <c r="BA114" s="60"/>
      <c r="BB114" s="60"/>
      <c r="BC114" s="61"/>
    </row>
    <row r="115" spans="6:55" ht="14.25" customHeight="1" x14ac:dyDescent="0.15">
      <c r="F115" s="40"/>
      <c r="G115" s="40"/>
      <c r="H115" s="40"/>
      <c r="I115" s="123"/>
      <c r="J115" s="40"/>
      <c r="K115" s="56"/>
      <c r="L115" s="40"/>
      <c r="M115" s="54"/>
      <c r="N115" s="54"/>
      <c r="O115" s="40"/>
      <c r="P115" s="40"/>
      <c r="Q115" s="40"/>
      <c r="R115" s="40"/>
      <c r="S115" s="40"/>
      <c r="T115" s="40"/>
      <c r="U115" s="40"/>
      <c r="V115" s="40"/>
      <c r="W115" s="40"/>
      <c r="X115" s="40"/>
      <c r="Y115" s="40"/>
      <c r="Z115" s="40"/>
      <c r="AA115" s="40"/>
      <c r="AB115" s="40"/>
      <c r="AK115" s="423"/>
      <c r="AL115" s="426"/>
      <c r="AM115" s="51" t="s">
        <v>145</v>
      </c>
      <c r="AN115" s="357" t="e">
        <f t="shared" ref="AN115" si="39">IF(AL113&lt;=20,6.1,IF(AND(AL113&gt;20,AL113&lt;=50),ROUNDUP(0.4/30*AL113+5.8333,1),IF(AND(AL113&gt;50,AL113&lt;=100),ROUNDUP(0.4/50*AL113+6.1,1),ROUNDUP(3.3/150*AL113+4.7,1))))</f>
        <v>#VALUE!</v>
      </c>
      <c r="AO115" s="243" t="e">
        <f t="shared" si="31"/>
        <v>#VALUE!</v>
      </c>
      <c r="AP115" s="51" t="e">
        <f>IF(AL113&lt;=8,5.6,IF(AND(AL113&gt;8,AL113&lt;=17),ROUNDUP(0.3/9*AL113+5.3333,1),IF(AND(AL113&gt;17,AL113&lt;=135),ROUNDUP(0.4/118*AL113+5.8423,1),ROUNDUP(1.1/65*AL113+4.0153,1))))</f>
        <v>#VALUE!</v>
      </c>
      <c r="AQ115" s="51" t="e">
        <f>IF(AL113&lt;=8,5.6,IF(AND(AL113&gt;8,AL113&lt;=10),ROUNDUP(0.3/2*AL113+4.4,1),IF(AND(AL113&gt;10,AL113&lt;=17),ROUNDUP(0.1/7*AL113+5.7571,1),IF(AND(AL113&gt;17,AL113&lt;=50),ROUNDUP(0.3/33*AL113+5.8454,1),IF(AND(AL113&gt;50,AL113&lt;=150),ROUNDUP(0.3/100*AL113+6.15,1),ROUNDUP(0.2/50*AL113+6,1))))))</f>
        <v>#VALUE!</v>
      </c>
      <c r="AR115" s="51" t="e">
        <f>IF(AL113&lt;=10,5.5,IF(AND(AL113&gt;10,AL113&lt;=68),ROUNDUP(0.7/58*AL113+5.3793,1),IF(AND(AL113&gt;68,AL113&lt;=138),ROUNDUP(0.4/70*AL113+5.8114,1),ROUNDUP(0.1/62*AL113+6.3774,1))))</f>
        <v>#VALUE!</v>
      </c>
      <c r="BB115" s="50"/>
    </row>
    <row r="116" spans="6:55" ht="14.25" customHeight="1" x14ac:dyDescent="0.15">
      <c r="F116" s="409" t="s">
        <v>50</v>
      </c>
      <c r="G116" s="415"/>
      <c r="H116" s="416"/>
      <c r="I116" s="215">
        <f>ROUNDUP(I114/100,2)</f>
        <v>0.29000000000000004</v>
      </c>
      <c r="J116" s="60"/>
      <c r="K116" s="335" t="s">
        <v>199</v>
      </c>
      <c r="L116" s="40"/>
      <c r="M116" s="54"/>
      <c r="N116" s="54"/>
      <c r="O116" s="40"/>
      <c r="P116" s="40"/>
      <c r="Q116" s="40"/>
      <c r="R116" s="40"/>
      <c r="S116" s="40"/>
      <c r="T116" s="40"/>
      <c r="U116" s="40"/>
      <c r="V116" s="40"/>
      <c r="W116" s="40"/>
      <c r="X116" s="40"/>
      <c r="Y116" s="40"/>
      <c r="Z116" s="40"/>
      <c r="AA116" s="40"/>
      <c r="AB116" s="40"/>
      <c r="AK116" s="423" t="s">
        <v>164</v>
      </c>
      <c r="AL116" s="424" t="str">
        <f t="shared" ref="AL116" si="40">K20</f>
        <v/>
      </c>
      <c r="AM116" s="51" t="s">
        <v>143</v>
      </c>
      <c r="AN116" s="357" t="e">
        <f t="shared" ref="AN116" si="41">IF(AL116&lt;=25,5.7,IF(AND(AL116&gt;25,AL116&lt;=75),ROUNDUP(0.3/25*AL116+5.4,1),IF(AND(AL116&gt;75,AL116&lt;=100),ROUNDUP(0.4/25*AL116+5.1,1),ROUNDUP(0.5/25*AL116+4.7,1))))</f>
        <v>#VALUE!</v>
      </c>
      <c r="AO116" s="243" t="e">
        <f t="shared" si="31"/>
        <v>#VALUE!</v>
      </c>
      <c r="AP116" s="51" t="e">
        <f>IF(AL116&lt;=25,5.5,IF(AND(AL116&gt;25,AL116&lt;=100),ROUNDUP(0.8/75*AL116+5.2333,1),IF(AND(AL116&gt;100,AL116&lt;=150),ROUNDUP(0.7/50*AL116+4.9,1),ROUNDUP(1/50*AL116+4,1))))</f>
        <v>#VALUE!</v>
      </c>
      <c r="AQ116" s="51" t="e">
        <f>IF(AL116&lt;=25,5.5,IF(AND(AL116&gt;25,AL116&lt;=100),ROUNDUP(0.7/60*AL116+5.0333,1),ROUNDUP(1/100*AL116+5.2,1)))</f>
        <v>#VALUE!</v>
      </c>
      <c r="AR116" s="51" t="e">
        <f>IF(AL116&lt;=50,5.9,IF(AND(AL116&gt;50,AL116&lt;=100),ROUNDUP(0.1/50*AL116+5.8,1),ROUNDUP(0.5/100*AL116+5.5,1)))</f>
        <v>#VALUE!</v>
      </c>
      <c r="BB116" s="50"/>
    </row>
    <row r="117" spans="6:55" ht="14.25" customHeight="1" x14ac:dyDescent="0.15">
      <c r="F117" s="54"/>
      <c r="G117" s="54"/>
      <c r="H117" s="54"/>
      <c r="I117" s="88"/>
      <c r="J117" s="40"/>
      <c r="K117" s="336"/>
      <c r="L117" s="40"/>
      <c r="M117" s="54"/>
      <c r="N117" s="54"/>
      <c r="O117" s="40"/>
      <c r="P117" s="40"/>
      <c r="Q117" s="40"/>
      <c r="R117" s="40"/>
      <c r="S117" s="40"/>
      <c r="T117" s="40"/>
      <c r="U117" s="40"/>
      <c r="V117" s="40"/>
      <c r="W117" s="40"/>
      <c r="X117" s="40"/>
      <c r="Y117" s="40"/>
      <c r="Z117" s="40"/>
      <c r="AA117" s="40"/>
      <c r="AB117" s="40"/>
      <c r="AK117" s="423"/>
      <c r="AL117" s="425"/>
      <c r="AM117" s="51" t="s">
        <v>144</v>
      </c>
      <c r="AN117" s="357" t="e">
        <f t="shared" ref="AN117" si="42">IF(AL116&lt;=30,7.1,IF(AND(AL116&gt;30,AL116&lt;=50),ROUNDUP(-0.6/20*AL116+8,1),IF(AND(AL116&gt;50,AL116&lt;=100),ROUNDUP(0.1/50*AL116+6.4,1),IF(AND(AL116&gt;100,AL116&lt;=125),ROUNDUP(0.5/25*AL116+4.6,1),ROUNDUP(1.4/25*AL116+0.1,1)))))</f>
        <v>#VALUE!</v>
      </c>
      <c r="AO117" s="243" t="e">
        <f t="shared" si="31"/>
        <v>#VALUE!</v>
      </c>
      <c r="AP117" s="51" t="e">
        <f>IF(AL116&lt;=25,ROUNDUP(0.8/25*AL116+5.9,1),IF(AND(AL116&gt;25,AL116&lt;=50),ROUNDUP(0.4/25*AL116+6.3,1),IF(AND(AL116&gt;50,AL116&lt;=70),ROUNDUP(0.1/20*AL116+6.85,1),IF(AND(AL116&gt;70,AL116&lt;=100),ROUNDUP(-0.1/30*AL116+7.4333,1),IF(AND(AL116&gt;100,AL116&lt;=150),ROUNDUP(0.4/50*AL116+6.3,1),ROUNDUP(0.7/50*AL116+5.4,1))))))</f>
        <v>#VALUE!</v>
      </c>
      <c r="AQ117" s="51" t="e">
        <f>IF(AL116&lt;=25,ROUNDUP(0.7/25*AL116+5.8,1),IF(AND(AL116&gt;25,AL116&lt;=50),ROUNDUP(0.4/25*AL116+6.1,1),IF(AND(AL116&gt;50,AL116&lt;=75),ROUNDUP(0.3/25*AL116+6.3,1),IF(AND(AL116&gt;75,AL116&lt;=100),ROUNDUP(0.1/25*AL116+6.9,1),IF(AND(AL116&gt;100,AL116&lt;=120),7.3,IF(AND(AL116&gt;120,AL116&lt;=160),ROUNDUP(-0.2/40*AL116+7.9,1),ROUNDUP(0.3/40*AL116+5.9,1)))))))</f>
        <v>#VALUE!</v>
      </c>
      <c r="AR117" s="51" t="e">
        <f>IF(AL116&lt;=50,ROUNDUP(0.75/100*AL116+5.6,1),ROUNDUP(0.15/100*AL116+6.2,1))</f>
        <v>#VALUE!</v>
      </c>
      <c r="BB117" s="50"/>
    </row>
    <row r="118" spans="6:55" ht="15" customHeight="1" x14ac:dyDescent="0.15">
      <c r="AK118" s="423"/>
      <c r="AL118" s="426"/>
      <c r="AM118" s="51" t="s">
        <v>145</v>
      </c>
      <c r="AN118" s="357" t="e">
        <f t="shared" ref="AN118" si="43">IF(AL116&lt;=20,6.1,IF(AND(AL116&gt;20,AL116&lt;=50),ROUNDUP(0.4/30*AL116+5.8333,1),IF(AND(AL116&gt;50,AL116&lt;=100),ROUNDUP(0.4/50*AL116+6.1,1),ROUNDUP(3.3/150*AL116+4.7,1))))</f>
        <v>#VALUE!</v>
      </c>
      <c r="AO118" s="243" t="e">
        <f t="shared" si="31"/>
        <v>#VALUE!</v>
      </c>
      <c r="AP118" s="51" t="e">
        <f>IF(AL116&lt;=8,5.6,IF(AND(AL116&gt;8,AL116&lt;=17),ROUNDUP(0.3/9*AL116+5.3333,1),IF(AND(AL116&gt;17,AL116&lt;=135),ROUNDUP(0.4/118*AL116+5.8423,1),ROUNDUP(1.1/65*AL116+4.0153,1))))</f>
        <v>#VALUE!</v>
      </c>
      <c r="AQ118" s="51" t="e">
        <f>IF(AL116&lt;=8,5.6,IF(AND(AL116&gt;8,AL116&lt;=10),ROUNDUP(0.3/2*AL116+4.4,1),IF(AND(AL116&gt;10,AL116&lt;=17),ROUNDUP(0.1/7*AL116+5.7571,1),IF(AND(AL116&gt;17,AL116&lt;=50),ROUNDUP(0.3/33*AL116+5.8454,1),IF(AND(AL116&gt;50,AL116&lt;=150),ROUNDUP(0.3/100*AL116+6.15,1),ROUNDUP(0.2/50*AL116+6,1))))))</f>
        <v>#VALUE!</v>
      </c>
      <c r="AR118" s="51" t="e">
        <f>IF(AL116&lt;=10,5.5,IF(AND(AL116&gt;10,AL116&lt;=68),ROUNDUP(0.7/58*AL116+5.3793,1),IF(AND(AL116&gt;68,AL116&lt;=138),ROUNDUP(0.4/70*AL116+5.8114,1),ROUNDUP(0.1/62*AL116+6.3774,1))))</f>
        <v>#VALUE!</v>
      </c>
      <c r="BB118" s="50"/>
    </row>
    <row r="119" spans="6:55" ht="15" customHeight="1" x14ac:dyDescent="0.15">
      <c r="AK119" s="423" t="s">
        <v>165</v>
      </c>
      <c r="AL119" s="424" t="str">
        <f t="shared" ref="AL119" si="44">K23</f>
        <v/>
      </c>
      <c r="AM119" s="51" t="s">
        <v>143</v>
      </c>
      <c r="AN119" s="357" t="e">
        <f t="shared" ref="AN119" si="45">IF(AL119&lt;=25,5.7,IF(AND(AL119&gt;25,AL119&lt;=75),ROUNDUP(0.3/25*AL119+5.4,1),IF(AND(AL119&gt;75,AL119&lt;=100),ROUNDUP(0.4/25*AL119+5.1,1),ROUNDUP(0.5/25*AL119+4.7,1))))</f>
        <v>#VALUE!</v>
      </c>
      <c r="AO119" s="243" t="e">
        <f t="shared" si="31"/>
        <v>#VALUE!</v>
      </c>
      <c r="AP119" s="51" t="e">
        <f>IF(AL119&lt;=25,5.5,IF(AND(AL119&gt;25,AL119&lt;=100),ROUNDUP(0.8/75*AL119+5.2333,1),IF(AND(AL119&gt;100,AL119&lt;=150),ROUNDUP(0.7/50*AL119+4.9,1),ROUNDUP(1/50*AL119+4,1))))</f>
        <v>#VALUE!</v>
      </c>
      <c r="AQ119" s="51" t="e">
        <f>IF(AL119&lt;=25,5.5,IF(AND(AL119&gt;25,AL119&lt;=100),ROUNDUP(0.7/60*AL119+5.0333,1),ROUNDUP(1/100*AL119+5.2,1)))</f>
        <v>#VALUE!</v>
      </c>
      <c r="AR119" s="51" t="e">
        <f>IF(AL119&lt;=50,5.9,IF(AND(AL119&gt;50,AL119&lt;=100),ROUNDUP(0.1/50*AL119+5.8,1),ROUNDUP(0.5/100*AL119+5.5,1)))</f>
        <v>#VALUE!</v>
      </c>
      <c r="BB119" s="50"/>
    </row>
    <row r="120" spans="6:55" ht="15" customHeight="1" x14ac:dyDescent="0.15">
      <c r="AK120" s="423"/>
      <c r="AL120" s="425"/>
      <c r="AM120" s="51" t="s">
        <v>144</v>
      </c>
      <c r="AN120" s="357" t="e">
        <f t="shared" ref="AN120" si="46">IF(AL119&lt;=30,7.1,IF(AND(AL119&gt;30,AL119&lt;=50),ROUNDUP(-0.6/20*AL119+8,1),IF(AND(AL119&gt;50,AL119&lt;=100),ROUNDUP(0.1/50*AL119+6.4,1),IF(AND(AL119&gt;100,AL119&lt;=125),ROUNDUP(0.5/25*AL119+4.6,1),ROUNDUP(1.4/25*AL119+0.1,1)))))</f>
        <v>#VALUE!</v>
      </c>
      <c r="AO120" s="243" t="e">
        <f t="shared" si="31"/>
        <v>#VALUE!</v>
      </c>
      <c r="AP120" s="51" t="e">
        <f>IF(AL119&lt;=25,ROUNDUP(0.8/25*AL119+5.9,1),IF(AND(AL119&gt;25,AL119&lt;=50),ROUNDUP(0.4/25*AL119+6.3,1),IF(AND(AL119&gt;50,AL119&lt;=70),ROUNDUP(0.1/20*AL119+6.85,1),IF(AND(AL119&gt;70,AL119&lt;=100),ROUNDUP(-0.1/30*AL119+7.4333,1),IF(AND(AL119&gt;100,AL119&lt;=150),ROUNDUP(0.4/50*AL119+6.3,1),ROUNDUP(0.7/50*AL119+5.4,1))))))</f>
        <v>#VALUE!</v>
      </c>
      <c r="AQ120" s="51" t="e">
        <f>IF(AL119&lt;=25,ROUNDUP(0.7/25*AL119+5.8,1),IF(AND(AL119&gt;25,AL119&lt;=50),ROUNDUP(0.4/25*AL119+6.1,1),IF(AND(AL119&gt;50,AL119&lt;=75),ROUNDUP(0.3/25*AL119+6.3,1),IF(AND(AL119&gt;75,AL119&lt;=100),ROUNDUP(0.1/25*AL119+6.9,1),IF(AND(AL119&gt;100,AL119&lt;=120),7.3,IF(AND(AL119&gt;120,AL119&lt;=160),ROUNDUP(-0.2/40*AL119+7.9,1),ROUNDUP(0.3/40*AL119+5.9,1)))))))</f>
        <v>#VALUE!</v>
      </c>
      <c r="AR120" s="51" t="e">
        <f>IF(AL119&lt;=50,ROUNDUP(0.75/100*AL119+5.6,1),ROUNDUP(0.15/100*AL119+6.2,1))</f>
        <v>#VALUE!</v>
      </c>
      <c r="BB120" s="50"/>
    </row>
    <row r="121" spans="6:55" ht="15" customHeight="1" x14ac:dyDescent="0.15">
      <c r="AK121" s="423"/>
      <c r="AL121" s="426"/>
      <c r="AM121" s="51" t="s">
        <v>145</v>
      </c>
      <c r="AN121" s="357" t="e">
        <f t="shared" ref="AN121" si="47">IF(AL119&lt;=20,6.1,IF(AND(AL119&gt;20,AL119&lt;=50),ROUNDUP(0.4/30*AL119+5.8333,1),IF(AND(AL119&gt;50,AL119&lt;=100),ROUNDUP(0.4/50*AL119+6.1,1),ROUNDUP(3.3/150*AL119+4.7,1))))</f>
        <v>#VALUE!</v>
      </c>
      <c r="AO121" s="243" t="e">
        <f t="shared" si="31"/>
        <v>#VALUE!</v>
      </c>
      <c r="AP121" s="51" t="e">
        <f>IF(AL119&lt;=8,5.6,IF(AND(AL119&gt;8,AL119&lt;=17),ROUNDUP(0.3/9*AL119+5.3333,1),IF(AND(AL119&gt;17,AL119&lt;=135),ROUNDUP(0.4/118*AL119+5.8423,1),ROUNDUP(1.1/65*AL119+4.0153,1))))</f>
        <v>#VALUE!</v>
      </c>
      <c r="AQ121" s="51" t="e">
        <f>IF(AL119&lt;=8,5.6,IF(AND(AL119&gt;8,AL119&lt;=10),ROUNDUP(0.3/2*AL119+4.4,1),IF(AND(AL119&gt;10,AL119&lt;=17),ROUNDUP(0.1/7*AL119+5.7571,1),IF(AND(AL119&gt;17,AL119&lt;=50),ROUNDUP(0.3/33*AL119+5.8454,1),IF(AND(AL119&gt;50,AL119&lt;=150),ROUNDUP(0.3/100*AL119+6.15,1),ROUNDUP(0.2/50*AL119+6,1))))))</f>
        <v>#VALUE!</v>
      </c>
      <c r="AR121" s="51" t="e">
        <f>IF(AL119&lt;=10,5.5,IF(AND(AL119&gt;10,AL119&lt;=68),ROUNDUP(0.7/58*AL119+5.3793,1),IF(AND(AL119&gt;68,AL119&lt;=138),ROUNDUP(0.4/70*AL119+5.8114,1),ROUNDUP(0.1/62*AL119+6.3774,1))))</f>
        <v>#VALUE!</v>
      </c>
      <c r="BB121" s="50"/>
    </row>
    <row r="122" spans="6:55" ht="15" customHeight="1" x14ac:dyDescent="0.15">
      <c r="AK122" s="423" t="s">
        <v>166</v>
      </c>
      <c r="AL122" s="424" t="str">
        <f t="shared" ref="AL122" si="48">K26</f>
        <v/>
      </c>
      <c r="AM122" s="51" t="s">
        <v>143</v>
      </c>
      <c r="AN122" s="357" t="e">
        <f t="shared" ref="AN122" si="49">IF(AL122&lt;=25,5.7,IF(AND(AL122&gt;25,AL122&lt;=75),ROUNDUP(0.3/25*AL122+5.4,1),IF(AND(AL122&gt;75,AL122&lt;=100),ROUNDUP(0.4/25*AL122+5.1,1),ROUNDUP(0.5/25*AL122+4.7,1))))</f>
        <v>#VALUE!</v>
      </c>
      <c r="AO122" s="243" t="e">
        <f t="shared" si="31"/>
        <v>#VALUE!</v>
      </c>
      <c r="AP122" s="51" t="e">
        <f>IF(AL122&lt;=25,5.5,IF(AND(AL122&gt;25,AL122&lt;=100),ROUNDUP(0.8/75*AL122+5.2333,1),IF(AND(AL122&gt;100,AL122&lt;=150),ROUNDUP(0.7/50*AL122+4.9,1),ROUNDUP(1/50*AL122+4,1))))</f>
        <v>#VALUE!</v>
      </c>
      <c r="AQ122" s="51" t="e">
        <f>IF(AL122&lt;=25,5.5,IF(AND(AL122&gt;25,AL122&lt;=100),ROUNDUP(0.7/60*AL122+5.0333,1),ROUNDUP(1/100*AL122+5.2,1)))</f>
        <v>#VALUE!</v>
      </c>
      <c r="AR122" s="51" t="e">
        <f>IF(AL122&lt;=50,5.9,IF(AND(AL122&gt;50,AL122&lt;=100),ROUNDUP(0.1/50*AL122+5.8,1),ROUNDUP(0.5/100*AL122+5.5,1)))</f>
        <v>#VALUE!</v>
      </c>
      <c r="BB122" s="50"/>
    </row>
    <row r="123" spans="6:55" ht="15" customHeight="1" x14ac:dyDescent="0.15">
      <c r="I123"/>
      <c r="J123" s="350"/>
      <c r="K123" s="350"/>
      <c r="L123" s="350"/>
      <c r="M123" s="350"/>
      <c r="N123" s="350"/>
      <c r="O123" s="350"/>
      <c r="P123" s="350"/>
      <c r="Q123" s="350"/>
      <c r="R123" s="350"/>
      <c r="S123" s="350"/>
      <c r="T123" s="350"/>
      <c r="U123" s="350"/>
      <c r="V123" s="350"/>
      <c r="W123" s="350"/>
      <c r="X123" s="350"/>
      <c r="Y123" s="350"/>
      <c r="Z123" s="350"/>
      <c r="AA123" s="350"/>
      <c r="AK123" s="423"/>
      <c r="AL123" s="425"/>
      <c r="AM123" s="51" t="s">
        <v>144</v>
      </c>
      <c r="AN123" s="357" t="e">
        <f t="shared" ref="AN123" si="50">IF(AL122&lt;=30,7.1,IF(AND(AL122&gt;30,AL122&lt;=50),ROUNDUP(-0.6/20*AL122+8,1),IF(AND(AL122&gt;50,AL122&lt;=100),ROUNDUP(0.1/50*AL122+6.4,1),IF(AND(AL122&gt;100,AL122&lt;=125),ROUNDUP(0.5/25*AL122+4.6,1),ROUNDUP(1.4/25*AL122+0.1,1)))))</f>
        <v>#VALUE!</v>
      </c>
      <c r="AO123" s="243" t="e">
        <f t="shared" si="31"/>
        <v>#VALUE!</v>
      </c>
      <c r="AP123" s="51" t="e">
        <f>IF(AL122&lt;=25,ROUNDUP(0.8/25*AL122+5.9,1),IF(AND(AL122&gt;25,AL122&lt;=50),ROUNDUP(0.4/25*AL122+6.3,1),IF(AND(AL122&gt;50,AL122&lt;=70),ROUNDUP(0.1/20*AL122+6.85,1),IF(AND(AL122&gt;70,AL122&lt;=100),ROUNDUP(-0.1/30*AL122+7.4333,1),IF(AND(AL122&gt;100,AL122&lt;=150),ROUNDUP(0.4/50*AL122+6.3,1),ROUNDUP(0.7/50*AL122+5.4,1))))))</f>
        <v>#VALUE!</v>
      </c>
      <c r="AQ123" s="51" t="e">
        <f>IF(AL122&lt;=25,ROUNDUP(0.7/25*AL122+5.8,1),IF(AND(AL122&gt;25,AL122&lt;=50),ROUNDUP(0.4/25*AL122+6.1,1),IF(AND(AL122&gt;50,AL122&lt;=75),ROUNDUP(0.3/25*AL122+6.3,1),IF(AND(AL122&gt;75,AL122&lt;=100),ROUNDUP(0.1/25*AL122+6.9,1),IF(AND(AL122&gt;100,AL122&lt;=120),7.3,IF(AND(AL122&gt;120,AL122&lt;=160),ROUNDUP(-0.2/40*AL122+7.9,1),ROUNDUP(0.3/40*AL122+5.9,1)))))))</f>
        <v>#VALUE!</v>
      </c>
      <c r="AR123" s="51" t="e">
        <f>IF(AL122&lt;=50,ROUNDUP(0.75/100*AL122+5.6,1),ROUNDUP(0.15/100*AL122+6.2,1))</f>
        <v>#VALUE!</v>
      </c>
      <c r="BB123" s="50"/>
    </row>
    <row r="124" spans="6:55" ht="15" customHeight="1" x14ac:dyDescent="0.15">
      <c r="I124" s="350"/>
      <c r="J124" s="350"/>
      <c r="K124" s="350"/>
      <c r="L124" s="350"/>
      <c r="M124" s="350"/>
      <c r="N124" s="350"/>
      <c r="O124" s="350"/>
      <c r="P124" s="350"/>
      <c r="Q124" s="350"/>
      <c r="R124" s="350"/>
      <c r="S124" s="350"/>
      <c r="T124" s="350"/>
      <c r="U124" s="350"/>
      <c r="V124" s="350"/>
      <c r="W124" s="350"/>
      <c r="X124" s="350"/>
      <c r="Y124" s="350"/>
      <c r="Z124" s="350"/>
      <c r="AA124" s="350"/>
      <c r="AK124" s="423"/>
      <c r="AL124" s="426"/>
      <c r="AM124" s="51" t="s">
        <v>145</v>
      </c>
      <c r="AN124" s="357" t="e">
        <f t="shared" ref="AN124" si="51">IF(AL122&lt;=20,6.1,IF(AND(AL122&gt;20,AL122&lt;=50),ROUNDUP(0.4/30*AL122+5.8333,1),IF(AND(AL122&gt;50,AL122&lt;=100),ROUNDUP(0.4/50*AL122+6.1,1),ROUNDUP(3.3/150*AL122+4.7,1))))</f>
        <v>#VALUE!</v>
      </c>
      <c r="AO124" s="243" t="e">
        <f t="shared" si="31"/>
        <v>#VALUE!</v>
      </c>
      <c r="AP124" s="51" t="e">
        <f>IF(AL122&lt;=8,5.6,IF(AND(AL122&gt;8,AL122&lt;=17),ROUNDUP(0.3/9*AL122+5.3333,1),IF(AND(AL122&gt;17,AL122&lt;=135),ROUNDUP(0.4/118*AL122+5.8423,1),ROUNDUP(1.1/65*AL122+4.0153,1))))</f>
        <v>#VALUE!</v>
      </c>
      <c r="AQ124" s="51" t="e">
        <f>IF(AL122&lt;=8,5.6,IF(AND(AL122&gt;8,AL122&lt;=10),ROUNDUP(0.3/2*AL122+4.4,1),IF(AND(AL122&gt;10,AL122&lt;=17),ROUNDUP(0.1/7*AL122+5.7571,1),IF(AND(AL122&gt;17,AL122&lt;=50),ROUNDUP(0.3/33*AL122+5.8454,1),IF(AND(AL122&gt;50,AL122&lt;=150),ROUNDUP(0.3/100*AL122+6.15,1),ROUNDUP(0.2/50*AL122+6,1))))))</f>
        <v>#VALUE!</v>
      </c>
      <c r="AR124" s="51" t="e">
        <f>IF(AL122&lt;=10,5.5,IF(AND(AL122&gt;10,AL122&lt;=68),ROUNDUP(0.7/58*AL122+5.3793,1),IF(AND(AL122&gt;68,AL122&lt;=138),ROUNDUP(0.4/70*AL122+5.8114,1),ROUNDUP(0.1/62*AL122+6.3774,1))))</f>
        <v>#VALUE!</v>
      </c>
      <c r="BB124" s="50"/>
    </row>
    <row r="125" spans="6:55" ht="15" customHeight="1" x14ac:dyDescent="0.15">
      <c r="I125" s="350"/>
      <c r="J125" s="350"/>
      <c r="K125" s="264"/>
      <c r="L125" s="350"/>
      <c r="M125" s="350"/>
      <c r="N125" s="350"/>
      <c r="O125" s="350"/>
      <c r="P125" s="350"/>
      <c r="Q125" s="350"/>
      <c r="R125" s="350"/>
      <c r="S125" s="350"/>
      <c r="T125" s="350"/>
      <c r="U125" s="350"/>
      <c r="V125" s="350"/>
      <c r="W125" s="350"/>
      <c r="X125" s="350"/>
      <c r="Y125" s="350"/>
      <c r="Z125" s="350"/>
      <c r="AA125" s="350"/>
      <c r="AK125" s="423" t="s">
        <v>167</v>
      </c>
      <c r="AL125" s="424" t="str">
        <f t="shared" ref="AL125" si="52">K29</f>
        <v/>
      </c>
      <c r="AM125" s="51" t="s">
        <v>143</v>
      </c>
      <c r="AN125" s="357" t="e">
        <f t="shared" ref="AN125" si="53">IF(AL125&lt;=25,5.7,IF(AND(AL125&gt;25,AL125&lt;=75),ROUNDUP(0.3/25*AL125+5.4,1),IF(AND(AL125&gt;75,AL125&lt;=100),ROUNDUP(0.4/25*AL125+5.1,1),ROUNDUP(0.5/25*AL125+4.7,1))))</f>
        <v>#VALUE!</v>
      </c>
      <c r="AO125" s="243" t="e">
        <f t="shared" si="31"/>
        <v>#VALUE!</v>
      </c>
      <c r="AP125" s="51" t="e">
        <f>IF(AL125&lt;=25,5.5,IF(AND(AL125&gt;25,AL125&lt;=100),ROUNDUP(0.8/75*AL125+5.2333,1),IF(AND(AL125&gt;100,AL125&lt;=150),ROUNDUP(0.7/50*AL125+4.9,1),ROUNDUP(1/50*AL125+4,1))))</f>
        <v>#VALUE!</v>
      </c>
      <c r="AQ125" s="51" t="e">
        <f>IF(AL125&lt;=25,5.5,IF(AND(AL125&gt;25,AL125&lt;=100),ROUNDUP(0.7/60*AL125+5.0333,1),ROUNDUP(1/100*AL125+5.2,1)))</f>
        <v>#VALUE!</v>
      </c>
      <c r="AR125" s="51" t="e">
        <f>IF(AL125&lt;=50,5.9,IF(AND(AL125&gt;50,AL125&lt;=100),ROUNDUP(0.1/50*AL125+5.8,1),ROUNDUP(0.5/100*AL125+5.5,1)))</f>
        <v>#VALUE!</v>
      </c>
      <c r="BB125" s="50"/>
    </row>
    <row r="126" spans="6:55" ht="15" customHeight="1" x14ac:dyDescent="0.15">
      <c r="I126" s="350"/>
      <c r="J126" s="350"/>
      <c r="K126" s="350"/>
      <c r="L126" s="350"/>
      <c r="M126" s="350"/>
      <c r="N126" s="350"/>
      <c r="O126" s="350"/>
      <c r="P126" s="350"/>
      <c r="Q126" s="350"/>
      <c r="R126" s="350"/>
      <c r="S126" s="350"/>
      <c r="T126" s="350"/>
      <c r="U126" s="350"/>
      <c r="V126" s="350"/>
      <c r="W126" s="350"/>
      <c r="X126" s="350"/>
      <c r="Y126" s="350"/>
      <c r="Z126" s="350"/>
      <c r="AA126" s="350"/>
      <c r="AK126" s="423"/>
      <c r="AL126" s="425"/>
      <c r="AM126" s="51" t="s">
        <v>144</v>
      </c>
      <c r="AN126" s="357" t="e">
        <f t="shared" ref="AN126" si="54">IF(AL125&lt;=30,7.1,IF(AND(AL125&gt;30,AL125&lt;=50),ROUNDUP(-0.6/20*AL125+8,1),IF(AND(AL125&gt;50,AL125&lt;=100),ROUNDUP(0.1/50*AL125+6.4,1),IF(AND(AL125&gt;100,AL125&lt;=125),ROUNDUP(0.5/25*AL125+4.6,1),ROUNDUP(1.4/25*AL125+0.1,1)))))</f>
        <v>#VALUE!</v>
      </c>
      <c r="AO126" s="243" t="e">
        <f t="shared" si="31"/>
        <v>#VALUE!</v>
      </c>
      <c r="AP126" s="51" t="e">
        <f>IF(AL125&lt;=25,ROUNDUP(0.8/25*AL125+5.9,1),IF(AND(AL125&gt;25,AL125&lt;=50),ROUNDUP(0.4/25*AL125+6.3,1),IF(AND(AL125&gt;50,AL125&lt;=70),ROUNDUP(0.1/20*AL125+6.85,1),IF(AND(AL125&gt;70,AL125&lt;=100),ROUNDUP(-0.1/30*AL125+7.4333,1),IF(AND(AL125&gt;100,AL125&lt;=150),ROUNDUP(0.4/50*AL125+6.3,1),ROUNDUP(0.7/50*AL125+5.4,1))))))</f>
        <v>#VALUE!</v>
      </c>
      <c r="AQ126" s="51" t="e">
        <f>IF(AL125&lt;=25,ROUNDUP(0.7/25*AL125+5.8,1),IF(AND(AL125&gt;25,AL125&lt;=50),ROUNDUP(0.4/25*AL125+6.1,1),IF(AND(AL125&gt;50,AL125&lt;=75),ROUNDUP(0.3/25*AL125+6.3,1),IF(AND(AL125&gt;75,AL125&lt;=100),ROUNDUP(0.1/25*AL125+6.9,1),IF(AND(AL125&gt;100,AL125&lt;=120),7.3,IF(AND(AL125&gt;120,AL125&lt;=160),ROUNDUP(-0.2/40*AL125+7.9,1),ROUNDUP(0.3/40*AL125+5.9,1)))))))</f>
        <v>#VALUE!</v>
      </c>
      <c r="AR126" s="51" t="e">
        <f>IF(AL125&lt;=50,ROUNDUP(0.75/100*AL125+5.6,1),ROUNDUP(0.15/100*AL125+6.2,1))</f>
        <v>#VALUE!</v>
      </c>
      <c r="BB126" s="50"/>
    </row>
    <row r="127" spans="6:55" ht="15" customHeight="1" x14ac:dyDescent="0.15">
      <c r="I127" s="350"/>
      <c r="J127" s="350"/>
      <c r="K127" s="350"/>
      <c r="L127" s="350"/>
      <c r="M127" s="350"/>
      <c r="N127" s="350"/>
      <c r="O127" s="350"/>
      <c r="P127" s="350"/>
      <c r="Q127" s="350"/>
      <c r="R127" s="350"/>
      <c r="S127" s="350"/>
      <c r="T127" s="350"/>
      <c r="U127" s="350"/>
      <c r="V127" s="350"/>
      <c r="W127" s="350"/>
      <c r="X127" s="350"/>
      <c r="Y127" s="350"/>
      <c r="Z127" s="350"/>
      <c r="AA127" s="350"/>
      <c r="AK127" s="423"/>
      <c r="AL127" s="426"/>
      <c r="AM127" s="51" t="s">
        <v>145</v>
      </c>
      <c r="AN127" s="357" t="e">
        <f t="shared" ref="AN127" si="55">IF(AL125&lt;=20,6.1,IF(AND(AL125&gt;20,AL125&lt;=50),ROUNDUP(0.4/30*AL125+5.8333,1),IF(AND(AL125&gt;50,AL125&lt;=100),ROUNDUP(0.4/50*AL125+6.1,1),ROUNDUP(3.3/150*AL125+4.7,1))))</f>
        <v>#VALUE!</v>
      </c>
      <c r="AO127" s="243" t="e">
        <f t="shared" si="31"/>
        <v>#VALUE!</v>
      </c>
      <c r="AP127" s="51" t="e">
        <f>IF(AL125&lt;=8,5.6,IF(AND(AL125&gt;8,AL125&lt;=17),ROUNDUP(0.3/9*AL125+5.3333,1),IF(AND(AL125&gt;17,AL125&lt;=135),ROUNDUP(0.4/118*AL125+5.8423,1),ROUNDUP(1.1/65*AL125+4.0153,1))))</f>
        <v>#VALUE!</v>
      </c>
      <c r="AQ127" s="51" t="e">
        <f>IF(AL125&lt;=8,5.6,IF(AND(AL125&gt;8,AL125&lt;=10),ROUNDUP(0.3/2*AL125+4.4,1),IF(AND(AL125&gt;10,AL125&lt;=17),ROUNDUP(0.1/7*AL125+5.7571,1),IF(AND(AL125&gt;17,AL125&lt;=50),ROUNDUP(0.3/33*AL125+5.8454,1),IF(AND(AL125&gt;50,AL125&lt;=150),ROUNDUP(0.3/100*AL125+6.15,1),ROUNDUP(0.2/50*AL125+6,1))))))</f>
        <v>#VALUE!</v>
      </c>
      <c r="AR127" s="51" t="e">
        <f>IF(AL125&lt;=10,5.5,IF(AND(AL125&gt;10,AL125&lt;=68),ROUNDUP(0.7/58*AL125+5.3793,1),IF(AND(AL125&gt;68,AL125&lt;=138),ROUNDUP(0.4/70*AL125+5.8114,1),ROUNDUP(0.1/62*AL125+6.3774,1))))</f>
        <v>#VALUE!</v>
      </c>
      <c r="BB127" s="50"/>
    </row>
    <row r="128" spans="6:55" ht="15" customHeight="1" x14ac:dyDescent="0.15">
      <c r="I128" s="350"/>
      <c r="J128" s="350"/>
      <c r="K128" s="350"/>
      <c r="L128" s="350"/>
      <c r="M128" s="350"/>
      <c r="N128" s="350"/>
      <c r="O128" s="350"/>
      <c r="P128" s="350"/>
      <c r="Q128" s="350"/>
      <c r="R128" s="350"/>
      <c r="S128" s="350"/>
      <c r="T128" s="350"/>
      <c r="U128" s="350"/>
      <c r="V128" s="350"/>
      <c r="W128" s="350"/>
      <c r="X128" s="350"/>
      <c r="Y128" s="350"/>
      <c r="Z128" s="350"/>
      <c r="AA128" s="350"/>
      <c r="AK128" s="423" t="s">
        <v>168</v>
      </c>
      <c r="AL128" s="424" t="str">
        <f t="shared" ref="AL128" si="56">K32</f>
        <v/>
      </c>
      <c r="AM128" s="51" t="s">
        <v>143</v>
      </c>
      <c r="AN128" s="357" t="e">
        <f t="shared" ref="AN128" si="57">IF(AL128&lt;=25,5.7,IF(AND(AL128&gt;25,AL128&lt;=75),ROUNDUP(0.3/25*AL128+5.4,1),IF(AND(AL128&gt;75,AL128&lt;=100),ROUNDUP(0.4/25*AL128+5.1,1),ROUNDUP(0.5/25*AL128+4.7,1))))</f>
        <v>#VALUE!</v>
      </c>
      <c r="AO128" s="243" t="e">
        <f t="shared" si="31"/>
        <v>#VALUE!</v>
      </c>
      <c r="AP128" s="51" t="e">
        <f>IF(AL128&lt;=25,5.5,IF(AND(AL128&gt;25,AL128&lt;=100),ROUNDUP(0.8/75*AL128+5.2333,1),IF(AND(AL128&gt;100,AL128&lt;=150),ROUNDUP(0.7/50*AL128+4.9,1),ROUNDUP(1/50*AL128+4,1))))</f>
        <v>#VALUE!</v>
      </c>
      <c r="AQ128" s="51" t="e">
        <f>IF(AL128&lt;=25,5.5,IF(AND(AL128&gt;25,AL128&lt;=100),ROUNDUP(0.7/60*AL128+5.0333,1),ROUNDUP(1/100*AL128+5.2,1)))</f>
        <v>#VALUE!</v>
      </c>
      <c r="AR128" s="51" t="e">
        <f>IF(AL128&lt;=50,5.9,IF(AND(AL128&gt;50,AL128&lt;=100),ROUNDUP(0.1/50*AL128+5.8,1),ROUNDUP(0.5/100*AL128+5.5,1)))</f>
        <v>#VALUE!</v>
      </c>
      <c r="BB128" s="50"/>
    </row>
    <row r="129" spans="9:54" ht="15" customHeight="1" x14ac:dyDescent="0.15">
      <c r="I129" s="350"/>
      <c r="J129" s="350"/>
      <c r="K129" s="350"/>
      <c r="L129" s="350"/>
      <c r="M129" s="350"/>
      <c r="N129" s="350"/>
      <c r="O129" s="350"/>
      <c r="P129" s="350"/>
      <c r="Q129" s="350"/>
      <c r="R129" s="350"/>
      <c r="S129" s="350"/>
      <c r="T129" s="350"/>
      <c r="U129" s="350"/>
      <c r="V129" s="350"/>
      <c r="W129" s="350"/>
      <c r="X129" s="350"/>
      <c r="Y129" s="350"/>
      <c r="Z129" s="350"/>
      <c r="AA129" s="350"/>
      <c r="AK129" s="423"/>
      <c r="AL129" s="425"/>
      <c r="AM129" s="51" t="s">
        <v>144</v>
      </c>
      <c r="AN129" s="357" t="e">
        <f t="shared" ref="AN129" si="58">IF(AL128&lt;=30,7.1,IF(AND(AL128&gt;30,AL128&lt;=50),ROUNDUP(-0.6/20*AL128+8,1),IF(AND(AL128&gt;50,AL128&lt;=100),ROUNDUP(0.1/50*AL128+6.4,1),IF(AND(AL128&gt;100,AL128&lt;=125),ROUNDUP(0.5/25*AL128+4.6,1),ROUNDUP(1.4/25*AL128+0.1,1)))))</f>
        <v>#VALUE!</v>
      </c>
      <c r="AO129" s="243" t="e">
        <f t="shared" si="31"/>
        <v>#VALUE!</v>
      </c>
      <c r="AP129" s="51" t="e">
        <f>IF(AL128&lt;=25,ROUNDUP(0.8/25*AL128+5.9,1),IF(AND(AL128&gt;25,AL128&lt;=50),ROUNDUP(0.4/25*AL128+6.3,1),IF(AND(AL128&gt;50,AL128&lt;=70),ROUNDUP(0.1/20*AL128+6.85,1),IF(AND(AL128&gt;70,AL128&lt;=100),ROUNDUP(-0.1/30*AL128+7.4333,1),IF(AND(AL128&gt;100,AL128&lt;=150),ROUNDUP(0.4/50*AL128+6.3,1),ROUNDUP(0.7/50*AL128+5.4,1))))))</f>
        <v>#VALUE!</v>
      </c>
      <c r="AQ129" s="51" t="e">
        <f>IF(AL128&lt;=25,ROUNDUP(0.7/25*AL128+5.8,1),IF(AND(AL128&gt;25,AL128&lt;=50),ROUNDUP(0.4/25*AL128+6.1,1),IF(AND(AL128&gt;50,AL128&lt;=75),ROUNDUP(0.3/25*AL128+6.3,1),IF(AND(AL128&gt;75,AL128&lt;=100),ROUNDUP(0.1/25*AL128+6.9,1),IF(AND(AL128&gt;100,AL128&lt;=120),7.3,IF(AND(AL128&gt;120,AL128&lt;=160),ROUNDUP(-0.2/40*AL128+7.9,1),ROUNDUP(0.3/40*AL128+5.9,1)))))))</f>
        <v>#VALUE!</v>
      </c>
      <c r="AR129" s="51" t="e">
        <f>IF(AL128&lt;=50,ROUNDUP(0.75/100*AL128+5.6,1),ROUNDUP(0.15/100*AL128+6.2,1))</f>
        <v>#VALUE!</v>
      </c>
      <c r="BB129" s="50"/>
    </row>
    <row r="130" spans="9:54" x14ac:dyDescent="0.15">
      <c r="I130" s="350"/>
      <c r="J130" s="350"/>
      <c r="K130" s="350"/>
      <c r="L130" s="350"/>
      <c r="M130" s="350"/>
      <c r="N130" s="350"/>
      <c r="O130" s="350"/>
      <c r="P130" s="350"/>
      <c r="Q130" s="350"/>
      <c r="R130" s="350"/>
      <c r="S130" s="350"/>
      <c r="T130" s="350"/>
      <c r="U130" s="350"/>
      <c r="V130" s="350"/>
      <c r="W130" s="350"/>
      <c r="X130" s="350"/>
      <c r="Y130" s="350"/>
      <c r="Z130" s="350"/>
      <c r="AA130" s="350"/>
      <c r="AK130" s="423"/>
      <c r="AL130" s="426"/>
      <c r="AM130" s="51" t="s">
        <v>145</v>
      </c>
      <c r="AN130" s="357" t="e">
        <f t="shared" ref="AN130" si="59">IF(AL128&lt;=20,6.1,IF(AND(AL128&gt;20,AL128&lt;=50),ROUNDUP(0.4/30*AL128+5.8333,1),IF(AND(AL128&gt;50,AL128&lt;=100),ROUNDUP(0.4/50*AL128+6.1,1),ROUNDUP(3.3/150*AL128+4.7,1))))</f>
        <v>#VALUE!</v>
      </c>
      <c r="AO130" s="243" t="e">
        <f t="shared" si="31"/>
        <v>#VALUE!</v>
      </c>
      <c r="AP130" s="51" t="e">
        <f>IF(AL128&lt;=8,5.6,IF(AND(AL128&gt;8,AL128&lt;=17),ROUNDUP(0.3/9*AL128+5.3333,1),IF(AND(AL128&gt;17,AL128&lt;=135),ROUNDUP(0.4/118*AL128+5.8423,1),ROUNDUP(1.1/65*AL128+4.0153,1))))</f>
        <v>#VALUE!</v>
      </c>
      <c r="AQ130" s="51" t="e">
        <f>IF(AL128&lt;=8,5.6,IF(AND(AL128&gt;8,AL128&lt;=10),ROUNDUP(0.3/2*AL128+4.4,1),IF(AND(AL128&gt;10,AL128&lt;=17),ROUNDUP(0.1/7*AL128+5.7571,1),IF(AND(AL128&gt;17,AL128&lt;=50),ROUNDUP(0.3/33*AL128+5.8454,1),IF(AND(AL128&gt;50,AL128&lt;=150),ROUNDUP(0.3/100*AL128+6.15,1),ROUNDUP(0.2/50*AL128+6,1))))))</f>
        <v>#VALUE!</v>
      </c>
      <c r="AR130" s="51" t="e">
        <f>IF(AL128&lt;=10,5.5,IF(AND(AL128&gt;10,AL128&lt;=68),ROUNDUP(0.7/58*AL128+5.3793,1),IF(AND(AL128&gt;68,AL128&lt;=138),ROUNDUP(0.4/70*AL128+5.8114,1),ROUNDUP(0.1/62*AL128+6.3774,1))))</f>
        <v>#VALUE!</v>
      </c>
      <c r="BB130" s="50"/>
    </row>
    <row r="131" spans="9:54" x14ac:dyDescent="0.15">
      <c r="I131" s="350"/>
      <c r="J131" s="350"/>
      <c r="K131" s="350"/>
      <c r="L131" s="350"/>
      <c r="M131" s="350"/>
      <c r="N131" s="350"/>
      <c r="O131" s="350"/>
      <c r="P131" s="350"/>
      <c r="Q131" s="350"/>
      <c r="R131" s="350"/>
      <c r="S131" s="350"/>
      <c r="T131" s="350"/>
      <c r="U131" s="350"/>
      <c r="V131" s="350"/>
      <c r="W131" s="350"/>
      <c r="X131" s="350"/>
      <c r="Y131" s="350"/>
      <c r="Z131" s="350"/>
      <c r="AA131" s="350"/>
      <c r="AK131" s="423" t="s">
        <v>169</v>
      </c>
      <c r="AL131" s="424" t="str">
        <f t="shared" ref="AL131" si="60">K35</f>
        <v/>
      </c>
      <c r="AM131" s="51" t="s">
        <v>143</v>
      </c>
      <c r="AN131" s="357" t="e">
        <f t="shared" ref="AN131" si="61">IF(AL131&lt;=25,5.7,IF(AND(AL131&gt;25,AL131&lt;=75),ROUNDUP(0.3/25*AL131+5.4,1),IF(AND(AL131&gt;75,AL131&lt;=100),ROUNDUP(0.4/25*AL131+5.1,1),ROUNDUP(0.5/25*AL131+4.7,1))))</f>
        <v>#VALUE!</v>
      </c>
      <c r="AO131" s="243" t="e">
        <f t="shared" si="31"/>
        <v>#VALUE!</v>
      </c>
      <c r="AP131" s="51" t="e">
        <f>IF(AL131&lt;=25,5.5,IF(AND(AL131&gt;25,AL131&lt;=100),ROUNDUP(0.8/75*AL131+5.2333,1),IF(AND(AL131&gt;100,AL131&lt;=150),ROUNDUP(0.7/50*AL131+4.9,1),ROUNDUP(1/50*AL131+4,1))))</f>
        <v>#VALUE!</v>
      </c>
      <c r="AQ131" s="51" t="e">
        <f>IF(AL131&lt;=25,5.5,IF(AND(AL131&gt;25,AL131&lt;=100),ROUNDUP(0.7/60*AL131+5.0333,1),ROUNDUP(1/100*AL131+5.2,1)))</f>
        <v>#VALUE!</v>
      </c>
      <c r="AR131" s="51" t="e">
        <f>IF(AL131&lt;=50,5.9,IF(AND(AL131&gt;50,AL131&lt;=100),ROUNDUP(0.1/50*AL131+5.8,1),ROUNDUP(0.5/100*AL131+5.5,1)))</f>
        <v>#VALUE!</v>
      </c>
      <c r="BB131" s="50"/>
    </row>
    <row r="132" spans="9:54" x14ac:dyDescent="0.15">
      <c r="I132" s="350"/>
      <c r="J132" s="350"/>
      <c r="K132" s="350"/>
      <c r="L132" s="350"/>
      <c r="M132" s="350"/>
      <c r="N132" s="350"/>
      <c r="O132" s="350"/>
      <c r="P132" s="350"/>
      <c r="Q132" s="350"/>
      <c r="R132" s="350"/>
      <c r="S132" s="350"/>
      <c r="T132" s="350"/>
      <c r="U132" s="350"/>
      <c r="V132" s="350"/>
      <c r="W132" s="350"/>
      <c r="X132" s="350"/>
      <c r="Y132" s="350"/>
      <c r="Z132" s="350"/>
      <c r="AA132" s="350"/>
      <c r="AK132" s="423"/>
      <c r="AL132" s="425"/>
      <c r="AM132" s="51" t="s">
        <v>144</v>
      </c>
      <c r="AN132" s="357" t="e">
        <f t="shared" ref="AN132" si="62">IF(AL131&lt;=30,7.1,IF(AND(AL131&gt;30,AL131&lt;=50),ROUNDUP(-0.6/20*AL131+8,1),IF(AND(AL131&gt;50,AL131&lt;=100),ROUNDUP(0.1/50*AL131+6.4,1),IF(AND(AL131&gt;100,AL131&lt;=125),ROUNDUP(0.5/25*AL131+4.6,1),ROUNDUP(1.4/25*AL131+0.1,1)))))</f>
        <v>#VALUE!</v>
      </c>
      <c r="AO132" s="243" t="e">
        <f t="shared" si="31"/>
        <v>#VALUE!</v>
      </c>
      <c r="AP132" s="51" t="e">
        <f>IF(AL131&lt;=25,ROUNDUP(0.8/25*AL131+5.9,1),IF(AND(AL131&gt;25,AL131&lt;=50),ROUNDUP(0.4/25*AL131+6.3,1),IF(AND(AL131&gt;50,AL131&lt;=70),ROUNDUP(0.1/20*AL131+6.85,1),IF(AND(AL131&gt;70,AL131&lt;=100),ROUNDUP(-0.1/30*AL131+7.4333,1),IF(AND(AL131&gt;100,AL131&lt;=150),ROUNDUP(0.4/50*AL131+6.3,1),ROUNDUP(0.7/50*AL131+5.4,1))))))</f>
        <v>#VALUE!</v>
      </c>
      <c r="AQ132" s="51" t="e">
        <f>IF(AL131&lt;=25,ROUNDUP(0.7/25*AL131+5.8,1),IF(AND(AL131&gt;25,AL131&lt;=50),ROUNDUP(0.4/25*AL131+6.1,1),IF(AND(AL131&gt;50,AL131&lt;=75),ROUNDUP(0.3/25*AL131+6.3,1),IF(AND(AL131&gt;75,AL131&lt;=100),ROUNDUP(0.1/25*AL131+6.9,1),IF(AND(AL131&gt;100,AL131&lt;=120),7.3,IF(AND(AL131&gt;120,AL131&lt;=160),ROUNDUP(-0.2/40*AL131+7.9,1),ROUNDUP(0.3/40*AL131+5.9,1)))))))</f>
        <v>#VALUE!</v>
      </c>
      <c r="AR132" s="51" t="e">
        <f>IF(AL131&lt;=50,ROUNDUP(0.75/100*AL131+5.6,1),ROUNDUP(0.15/100*AL131+6.2,1))</f>
        <v>#VALUE!</v>
      </c>
      <c r="BB132" s="50"/>
    </row>
    <row r="133" spans="9:54" x14ac:dyDescent="0.15">
      <c r="I133" s="350"/>
      <c r="J133" s="350"/>
      <c r="K133" s="350"/>
      <c r="L133" s="350"/>
      <c r="M133" s="350"/>
      <c r="N133" s="350"/>
      <c r="O133" s="350"/>
      <c r="P133" s="350"/>
      <c r="Q133" s="350"/>
      <c r="R133" s="350"/>
      <c r="S133" s="350"/>
      <c r="T133" s="350"/>
      <c r="U133" s="350"/>
      <c r="V133" s="350"/>
      <c r="W133" s="350"/>
      <c r="X133" s="350"/>
      <c r="Y133" s="350"/>
      <c r="Z133" s="350"/>
      <c r="AA133" s="350"/>
      <c r="AK133" s="423"/>
      <c r="AL133" s="426"/>
      <c r="AM133" s="51" t="s">
        <v>145</v>
      </c>
      <c r="AN133" s="357" t="e">
        <f t="shared" ref="AN133" si="63">IF(AL131&lt;=20,6.1,IF(AND(AL131&gt;20,AL131&lt;=50),ROUNDUP(0.4/30*AL131+5.8333,1),IF(AND(AL131&gt;50,AL131&lt;=100),ROUNDUP(0.4/50*AL131+6.1,1),ROUNDUP(3.3/150*AL131+4.7,1))))</f>
        <v>#VALUE!</v>
      </c>
      <c r="AO133" s="243" t="e">
        <f t="shared" si="31"/>
        <v>#VALUE!</v>
      </c>
      <c r="AP133" s="51" t="e">
        <f>IF(AL131&lt;=8,5.6,IF(AND(AL131&gt;8,AL131&lt;=17),ROUNDUP(0.3/9*AL131+5.3333,1),IF(AND(AL131&gt;17,AL131&lt;=135),ROUNDUP(0.4/118*AL131+5.8423,1),ROUNDUP(1.1/65*AL131+4.0153,1))))</f>
        <v>#VALUE!</v>
      </c>
      <c r="AQ133" s="51" t="e">
        <f>IF(AL131&lt;=8,5.6,IF(AND(AL131&gt;8,AL131&lt;=10),ROUNDUP(0.3/2*AL131+4.4,1),IF(AND(AL131&gt;10,AL131&lt;=17),ROUNDUP(0.1/7*AL131+5.7571,1),IF(AND(AL131&gt;17,AL131&lt;=50),ROUNDUP(0.3/33*AL131+5.8454,1),IF(AND(AL131&gt;50,AL131&lt;=150),ROUNDUP(0.3/100*AL131+6.15,1),ROUNDUP(0.2/50*AL131+6,1))))))</f>
        <v>#VALUE!</v>
      </c>
      <c r="AR133" s="51" t="e">
        <f>IF(AL131&lt;=10,5.5,IF(AND(AL131&gt;10,AL131&lt;=68),ROUNDUP(0.7/58*AL131+5.3793,1),IF(AND(AL131&gt;68,AL131&lt;=138),ROUNDUP(0.4/70*AL131+5.8114,1),ROUNDUP(0.1/62*AL131+6.3774,1))))</f>
        <v>#VALUE!</v>
      </c>
      <c r="BB133" s="50"/>
    </row>
    <row r="134" spans="9:54" x14ac:dyDescent="0.15">
      <c r="I134" s="350"/>
      <c r="J134" s="350"/>
      <c r="K134" s="350"/>
      <c r="L134" s="350"/>
      <c r="M134" s="350"/>
      <c r="N134" s="350"/>
      <c r="O134" s="350"/>
      <c r="P134" s="350"/>
      <c r="Q134" s="350"/>
      <c r="R134" s="350"/>
      <c r="S134" s="350"/>
      <c r="T134" s="350"/>
      <c r="U134" s="350"/>
      <c r="V134" s="350"/>
      <c r="W134" s="350"/>
      <c r="X134" s="350"/>
      <c r="Y134" s="350"/>
      <c r="Z134" s="350"/>
      <c r="AA134" s="350"/>
      <c r="AK134" s="423" t="s">
        <v>170</v>
      </c>
      <c r="AL134" s="424" t="str">
        <f t="shared" ref="AL134" si="64">K38</f>
        <v/>
      </c>
      <c r="AM134" s="51" t="s">
        <v>143</v>
      </c>
      <c r="AN134" s="357" t="e">
        <f t="shared" ref="AN134" si="65">IF(AL134&lt;=25,5.7,IF(AND(AL134&gt;25,AL134&lt;=75),ROUNDUP(0.3/25*AL134+5.4,1),IF(AND(AL134&gt;75,AL134&lt;=100),ROUNDUP(0.4/25*AL134+5.1,1),ROUNDUP(0.5/25*AL134+4.7,1))))</f>
        <v>#VALUE!</v>
      </c>
      <c r="AO134" s="243" t="e">
        <f t="shared" si="31"/>
        <v>#VALUE!</v>
      </c>
      <c r="AP134" s="51" t="e">
        <f>IF(AL134&lt;=25,5.5,IF(AND(AL134&gt;25,AL134&lt;=100),ROUNDUP(0.8/75*AL134+5.2333,1),IF(AND(AL134&gt;100,AL134&lt;=150),ROUNDUP(0.7/50*AL134+4.9,1),ROUNDUP(1/50*AL134+4,1))))</f>
        <v>#VALUE!</v>
      </c>
      <c r="AQ134" s="51" t="e">
        <f>IF(AL134&lt;=25,5.5,IF(AND(AL134&gt;25,AL134&lt;=100),ROUNDUP(0.7/60*AL134+5.0333,1),ROUNDUP(1/100*AL134+5.2,1)))</f>
        <v>#VALUE!</v>
      </c>
      <c r="AR134" s="51" t="e">
        <f>IF(AL134&lt;=50,5.9,IF(AND(AL134&gt;50,AL134&lt;=100),ROUNDUP(0.1/50*AL134+5.8,1),ROUNDUP(0.5/100*AL134+5.5,1)))</f>
        <v>#VALUE!</v>
      </c>
      <c r="BB134" s="50"/>
    </row>
    <row r="135" spans="9:54" x14ac:dyDescent="0.15">
      <c r="I135" s="350"/>
      <c r="J135" s="350"/>
      <c r="K135" s="350"/>
      <c r="L135" s="350"/>
      <c r="M135" s="350"/>
      <c r="N135" s="350"/>
      <c r="O135" s="350"/>
      <c r="P135" s="350"/>
      <c r="Q135" s="350"/>
      <c r="R135" s="350"/>
      <c r="S135" s="350"/>
      <c r="T135" s="350"/>
      <c r="U135" s="350"/>
      <c r="V135" s="350"/>
      <c r="W135" s="350"/>
      <c r="X135" s="350"/>
      <c r="Y135" s="350"/>
      <c r="Z135" s="350"/>
      <c r="AA135" s="350"/>
      <c r="AK135" s="423"/>
      <c r="AL135" s="425"/>
      <c r="AM135" s="51" t="s">
        <v>144</v>
      </c>
      <c r="AN135" s="357" t="e">
        <f t="shared" ref="AN135" si="66">IF(AL134&lt;=30,7.1,IF(AND(AL134&gt;30,AL134&lt;=50),ROUNDUP(-0.6/20*AL134+8,1),IF(AND(AL134&gt;50,AL134&lt;=100),ROUNDUP(0.1/50*AL134+6.4,1),IF(AND(AL134&gt;100,AL134&lt;=125),ROUNDUP(0.5/25*AL134+4.6,1),ROUNDUP(1.4/25*AL134+0.1,1)))))</f>
        <v>#VALUE!</v>
      </c>
      <c r="AO135" s="243" t="e">
        <f t="shared" si="31"/>
        <v>#VALUE!</v>
      </c>
      <c r="AP135" s="51" t="e">
        <f>IF(AL134&lt;=25,ROUNDUP(0.8/25*AL134+5.9,1),IF(AND(AL134&gt;25,AL134&lt;=50),ROUNDUP(0.4/25*AL134+6.3,1),IF(AND(AL134&gt;50,AL134&lt;=70),ROUNDUP(0.1/20*AL134+6.85,1),IF(AND(AL134&gt;70,AL134&lt;=100),ROUNDUP(-0.1/30*AL134+7.4333,1),IF(AND(AL134&gt;100,AL134&lt;=150),ROUNDUP(0.4/50*AL134+6.3,1),ROUNDUP(0.7/50*AL134+5.4,1))))))</f>
        <v>#VALUE!</v>
      </c>
      <c r="AQ135" s="51" t="e">
        <f>IF(AL134&lt;=25,ROUNDUP(0.7/25*AL134+5.8,1),IF(AND(AL134&gt;25,AL134&lt;=50),ROUNDUP(0.4/25*AL134+6.1,1),IF(AND(AL134&gt;50,AL134&lt;=75),ROUNDUP(0.3/25*AL134+6.3,1),IF(AND(AL134&gt;75,AL134&lt;=100),ROUNDUP(0.1/25*AL134+6.9,1),IF(AND(AL134&gt;100,AL134&lt;=120),7.3,IF(AND(AL134&gt;120,AL134&lt;=160),ROUNDUP(-0.2/40*AL134+7.9,1),ROUNDUP(0.3/40*AL134+5.9,1)))))))</f>
        <v>#VALUE!</v>
      </c>
      <c r="AR135" s="51" t="e">
        <f>IF(AL134&lt;=50,ROUNDUP(0.75/100*AL134+5.6,1),ROUNDUP(0.15/100*AL134+6.2,1))</f>
        <v>#VALUE!</v>
      </c>
      <c r="BB135" s="50"/>
    </row>
    <row r="136" spans="9:54" x14ac:dyDescent="0.15">
      <c r="I136" s="350"/>
      <c r="J136" s="350"/>
      <c r="K136" s="350"/>
      <c r="L136" s="350"/>
      <c r="M136" s="350"/>
      <c r="N136" s="350"/>
      <c r="O136" s="350"/>
      <c r="P136" s="350"/>
      <c r="Q136" s="350"/>
      <c r="R136" s="350"/>
      <c r="S136" s="350"/>
      <c r="T136" s="350"/>
      <c r="U136" s="350"/>
      <c r="V136" s="350"/>
      <c r="W136" s="350"/>
      <c r="X136" s="350"/>
      <c r="Y136" s="350"/>
      <c r="Z136" s="350"/>
      <c r="AA136" s="350"/>
      <c r="AK136" s="423"/>
      <c r="AL136" s="426"/>
      <c r="AM136" s="51" t="s">
        <v>145</v>
      </c>
      <c r="AN136" s="357" t="e">
        <f t="shared" ref="AN136" si="67">IF(AL134&lt;=20,6.1,IF(AND(AL134&gt;20,AL134&lt;=50),ROUNDUP(0.4/30*AL134+5.8333,1),IF(AND(AL134&gt;50,AL134&lt;=100),ROUNDUP(0.4/50*AL134+6.1,1),ROUNDUP(3.3/150*AL134+4.7,1))))</f>
        <v>#VALUE!</v>
      </c>
      <c r="AO136" s="243" t="e">
        <f t="shared" si="31"/>
        <v>#VALUE!</v>
      </c>
      <c r="AP136" s="51" t="e">
        <f>IF(AL134&lt;=8,5.6,IF(AND(AL134&gt;8,AL134&lt;=17),ROUNDUP(0.3/9*AL134+5.3333,1),IF(AND(AL134&gt;17,AL134&lt;=135),ROUNDUP(0.4/118*AL134+5.8423,1),ROUNDUP(1.1/65*AL134+4.0153,1))))</f>
        <v>#VALUE!</v>
      </c>
      <c r="AQ136" s="51" t="e">
        <f>IF(AL134&lt;=8,5.6,IF(AND(AL134&gt;8,AL134&lt;=10),ROUNDUP(0.3/2*AL134+4.4,1),IF(AND(AL134&gt;10,AL134&lt;=17),ROUNDUP(0.1/7*AL134+5.7571,1),IF(AND(AL134&gt;17,AL134&lt;=50),ROUNDUP(0.3/33*AL134+5.8454,1),IF(AND(AL134&gt;50,AL134&lt;=150),ROUNDUP(0.3/100*AL134+6.15,1),ROUNDUP(0.2/50*AL134+6,1))))))</f>
        <v>#VALUE!</v>
      </c>
      <c r="AR136" s="51" t="e">
        <f>IF(AL134&lt;=10,5.5,IF(AND(AL134&gt;10,AL134&lt;=68),ROUNDUP(0.7/58*AL134+5.3793,1),IF(AND(AL134&gt;68,AL134&lt;=138),ROUNDUP(0.4/70*AL134+5.8114,1),ROUNDUP(0.1/62*AL134+6.3774,1))))</f>
        <v>#VALUE!</v>
      </c>
      <c r="BB136" s="50"/>
    </row>
    <row r="137" spans="9:54" x14ac:dyDescent="0.15">
      <c r="I137" s="350"/>
      <c r="J137" s="350"/>
      <c r="K137" s="350"/>
      <c r="L137" s="350"/>
      <c r="M137" s="350"/>
      <c r="N137" s="350"/>
      <c r="O137" s="350"/>
      <c r="P137" s="350"/>
      <c r="Q137" s="350"/>
      <c r="R137" s="350"/>
      <c r="S137" s="350"/>
      <c r="T137" s="350"/>
      <c r="U137" s="350"/>
      <c r="V137" s="350"/>
      <c r="W137" s="350"/>
      <c r="X137" s="350"/>
      <c r="Y137" s="350"/>
      <c r="Z137" s="350"/>
      <c r="AA137" s="350"/>
      <c r="AK137" s="423" t="s">
        <v>171</v>
      </c>
      <c r="AL137" s="424" t="str">
        <f t="shared" ref="AL137" si="68">K41</f>
        <v/>
      </c>
      <c r="AM137" s="51" t="s">
        <v>143</v>
      </c>
      <c r="AN137" s="357" t="e">
        <f t="shared" ref="AN137" si="69">IF(AL137&lt;=25,5.7,IF(AND(AL137&gt;25,AL137&lt;=75),ROUNDUP(0.3/25*AL137+5.4,1),IF(AND(AL137&gt;75,AL137&lt;=100),ROUNDUP(0.4/25*AL137+5.1,1),ROUNDUP(0.5/25*AL137+4.7,1))))</f>
        <v>#VALUE!</v>
      </c>
      <c r="AO137" s="243" t="e">
        <f t="shared" si="31"/>
        <v>#VALUE!</v>
      </c>
      <c r="AP137" s="51" t="e">
        <f>IF(AL137&lt;=25,5.5,IF(AND(AL137&gt;25,AL137&lt;=100),ROUNDUP(0.8/75*AL137+5.2333,1),IF(AND(AL137&gt;100,AL137&lt;=150),ROUNDUP(0.7/50*AL137+4.9,1),ROUNDUP(1/50*AL137+4,1))))</f>
        <v>#VALUE!</v>
      </c>
      <c r="AQ137" s="51" t="e">
        <f>IF(AL137&lt;=25,5.5,IF(AND(AL137&gt;25,AL137&lt;=100),ROUNDUP(0.7/60*AL137+5.0333,1),ROUNDUP(1/100*AL137+5.2,1)))</f>
        <v>#VALUE!</v>
      </c>
      <c r="AR137" s="51" t="e">
        <f>IF(AL137&lt;=50,5.9,IF(AND(AL137&gt;50,AL137&lt;=100),ROUNDUP(0.1/50*AL137+5.8,1),ROUNDUP(0.5/100*AL137+5.5,1)))</f>
        <v>#VALUE!</v>
      </c>
      <c r="BB137" s="50"/>
    </row>
    <row r="138" spans="9:54" x14ac:dyDescent="0.15">
      <c r="I138" s="350"/>
      <c r="J138" s="350"/>
      <c r="K138" s="350"/>
      <c r="L138" s="350"/>
      <c r="M138" s="350"/>
      <c r="N138" s="350"/>
      <c r="O138" s="350"/>
      <c r="P138" s="350"/>
      <c r="Q138" s="350"/>
      <c r="R138" s="350"/>
      <c r="S138" s="350"/>
      <c r="T138" s="350"/>
      <c r="U138" s="350"/>
      <c r="V138" s="350"/>
      <c r="W138" s="350"/>
      <c r="X138" s="350"/>
      <c r="Y138" s="350"/>
      <c r="Z138" s="350"/>
      <c r="AA138" s="350"/>
      <c r="AK138" s="423"/>
      <c r="AL138" s="425"/>
      <c r="AM138" s="51" t="s">
        <v>144</v>
      </c>
      <c r="AN138" s="357" t="e">
        <f t="shared" ref="AN138" si="70">IF(AL137&lt;=30,7.1,IF(AND(AL137&gt;30,AL137&lt;=50),ROUNDUP(-0.6/20*AL137+8,1),IF(AND(AL137&gt;50,AL137&lt;=100),ROUNDUP(0.1/50*AL137+6.4,1),IF(AND(AL137&gt;100,AL137&lt;=125),ROUNDUP(0.5/25*AL137+4.6,1),ROUNDUP(1.4/25*AL137+0.1,1)))))</f>
        <v>#VALUE!</v>
      </c>
      <c r="AO138" s="243" t="e">
        <f t="shared" si="31"/>
        <v>#VALUE!</v>
      </c>
      <c r="AP138" s="51" t="e">
        <f>IF(AL137&lt;=25,ROUNDUP(0.8/25*AL137+5.9,1),IF(AND(AL137&gt;25,AL137&lt;=50),ROUNDUP(0.4/25*AL137+6.3,1),IF(AND(AL137&gt;50,AL137&lt;=70),ROUNDUP(0.1/20*AL137+6.85,1),IF(AND(AL137&gt;70,AL137&lt;=100),ROUNDUP(-0.1/30*AL137+7.4333,1),IF(AND(AL137&gt;100,AL137&lt;=150),ROUNDUP(0.4/50*AL137+6.3,1),ROUNDUP(0.7/50*AL137+5.4,1))))))</f>
        <v>#VALUE!</v>
      </c>
      <c r="AQ138" s="51" t="e">
        <f>IF(AL137&lt;=25,ROUNDUP(0.7/25*AL137+5.8,1),IF(AND(AL137&gt;25,AL137&lt;=50),ROUNDUP(0.4/25*AL137+6.1,1),IF(AND(AL137&gt;50,AL137&lt;=75),ROUNDUP(0.3/25*AL137+6.3,1),IF(AND(AL137&gt;75,AL137&lt;=100),ROUNDUP(0.1/25*AL137+6.9,1),IF(AND(AL137&gt;100,AL137&lt;=120),7.3,IF(AND(AL137&gt;120,AL137&lt;=160),ROUNDUP(-0.2/40*AL137+7.9,1),ROUNDUP(0.3/40*AL137+5.9,1)))))))</f>
        <v>#VALUE!</v>
      </c>
      <c r="AR138" s="51" t="e">
        <f>IF(AL137&lt;=50,ROUNDUP(0.75/100*AL137+5.6,1),ROUNDUP(0.15/100*AL137+6.2,1))</f>
        <v>#VALUE!</v>
      </c>
      <c r="BB138" s="50"/>
    </row>
    <row r="139" spans="9:54" x14ac:dyDescent="0.15">
      <c r="I139" s="350"/>
      <c r="J139" s="350"/>
      <c r="K139" s="350"/>
      <c r="L139" s="350"/>
      <c r="M139" s="350"/>
      <c r="N139" s="350"/>
      <c r="O139" s="350"/>
      <c r="P139" s="350"/>
      <c r="Q139" s="350"/>
      <c r="R139" s="350"/>
      <c r="S139" s="350"/>
      <c r="T139" s="350"/>
      <c r="U139" s="350"/>
      <c r="V139" s="350"/>
      <c r="W139" s="350"/>
      <c r="X139" s="350"/>
      <c r="Y139" s="350"/>
      <c r="Z139" s="350"/>
      <c r="AA139" s="350"/>
      <c r="AK139" s="423"/>
      <c r="AL139" s="426"/>
      <c r="AM139" s="51" t="s">
        <v>145</v>
      </c>
      <c r="AN139" s="357" t="e">
        <f t="shared" ref="AN139" si="71">IF(AL137&lt;=20,6.1,IF(AND(AL137&gt;20,AL137&lt;=50),ROUNDUP(0.4/30*AL137+5.8333,1),IF(AND(AL137&gt;50,AL137&lt;=100),ROUNDUP(0.4/50*AL137+6.1,1),ROUNDUP(3.3/150*AL137+4.7,1))))</f>
        <v>#VALUE!</v>
      </c>
      <c r="AO139" s="243" t="e">
        <f t="shared" si="31"/>
        <v>#VALUE!</v>
      </c>
      <c r="AP139" s="51" t="e">
        <f>IF(AL137&lt;=8,5.6,IF(AND(AL137&gt;8,AL137&lt;=17),ROUNDUP(0.3/9*AL137+5.3333,1),IF(AND(AL137&gt;17,AL137&lt;=135),ROUNDUP(0.4/118*AL137+5.8423,1),ROUNDUP(1.1/65*AL137+4.0153,1))))</f>
        <v>#VALUE!</v>
      </c>
      <c r="AQ139" s="51" t="e">
        <f>IF(AL137&lt;=8,5.6,IF(AND(AL137&gt;8,AL137&lt;=10),ROUNDUP(0.3/2*AL137+4.4,1),IF(AND(AL137&gt;10,AL137&lt;=17),ROUNDUP(0.1/7*AL137+5.7571,1),IF(AND(AL137&gt;17,AL137&lt;=50),ROUNDUP(0.3/33*AL137+5.8454,1),IF(AND(AL137&gt;50,AL137&lt;=150),ROUNDUP(0.3/100*AL137+6.15,1),ROUNDUP(0.2/50*AL137+6,1))))))</f>
        <v>#VALUE!</v>
      </c>
      <c r="AR139" s="51" t="e">
        <f>IF(AL137&lt;=10,5.5,IF(AND(AL137&gt;10,AL137&lt;=68),ROUNDUP(0.7/58*AL137+5.3793,1),IF(AND(AL137&gt;68,AL137&lt;=138),ROUNDUP(0.4/70*AL137+5.8114,1),ROUNDUP(0.1/62*AL137+6.3774,1))))</f>
        <v>#VALUE!</v>
      </c>
      <c r="BB139" s="50"/>
    </row>
    <row r="140" spans="9:54" x14ac:dyDescent="0.15">
      <c r="AK140" s="40"/>
      <c r="AL140" s="40"/>
      <c r="AM140" s="40"/>
      <c r="AN140" s="40"/>
      <c r="AO140" s="40"/>
    </row>
    <row r="141" spans="9:54" x14ac:dyDescent="0.15">
      <c r="AK141" s="55"/>
      <c r="AL141" s="40"/>
      <c r="AM141" s="40"/>
      <c r="AN141" s="40"/>
      <c r="AO141" s="40"/>
    </row>
    <row r="142" spans="9:54" x14ac:dyDescent="0.15">
      <c r="I142" s="350"/>
      <c r="J142" s="350"/>
      <c r="K142" s="350"/>
      <c r="L142" s="350"/>
      <c r="M142" s="350"/>
      <c r="N142" s="350"/>
      <c r="O142" s="350"/>
      <c r="P142" s="350"/>
      <c r="Q142" s="350"/>
      <c r="R142" s="350"/>
      <c r="S142" s="350"/>
      <c r="T142" s="350"/>
      <c r="U142" s="350"/>
      <c r="V142" s="350"/>
      <c r="W142" s="350"/>
      <c r="X142" s="350"/>
      <c r="Y142" s="350"/>
      <c r="Z142" s="350"/>
      <c r="AA142" s="350"/>
      <c r="AK142" s="351" t="e">
        <f>表紙!#REF!</f>
        <v>#REF!</v>
      </c>
      <c r="AL142" s="52"/>
      <c r="AM142" s="342" t="s">
        <v>183</v>
      </c>
      <c r="AN142" s="343"/>
      <c r="AO142" s="344"/>
    </row>
    <row r="143" spans="9:54" x14ac:dyDescent="0.15">
      <c r="I143" s="350"/>
      <c r="J143" s="350"/>
      <c r="K143" s="350"/>
      <c r="L143" s="350"/>
      <c r="M143" s="350"/>
      <c r="N143" s="350"/>
      <c r="O143" s="350"/>
      <c r="P143" s="350"/>
      <c r="Q143" s="350"/>
      <c r="R143" s="350"/>
      <c r="S143" s="350"/>
      <c r="T143" s="350"/>
      <c r="U143" s="350"/>
      <c r="V143" s="350"/>
      <c r="W143" s="350"/>
      <c r="X143" s="350"/>
      <c r="Y143" s="350"/>
      <c r="Z143" s="350"/>
      <c r="AA143" s="350"/>
      <c r="AK143" s="52"/>
      <c r="AL143" s="238"/>
      <c r="AM143" s="284" t="s">
        <v>186</v>
      </c>
      <c r="AN143" s="345"/>
      <c r="AO143" s="346"/>
    </row>
    <row r="144" spans="9:54" x14ac:dyDescent="0.15">
      <c r="I144" s="350"/>
      <c r="J144" s="350"/>
      <c r="K144" s="350"/>
      <c r="L144" s="350"/>
      <c r="M144" s="350"/>
      <c r="N144" s="350"/>
      <c r="O144" s="350"/>
      <c r="P144" s="350"/>
      <c r="Q144" s="350"/>
      <c r="R144" s="350"/>
      <c r="S144" s="350"/>
      <c r="T144" s="350"/>
      <c r="U144" s="350"/>
      <c r="V144" s="350"/>
      <c r="W144" s="350"/>
      <c r="X144" s="350"/>
      <c r="Y144" s="350"/>
      <c r="Z144" s="350"/>
      <c r="AA144" s="350"/>
      <c r="AK144" s="341" t="e">
        <f>IF(AK142=AM142,"水直１個計算例",IF(AK142=AM143,"専ポ１個計算例",IF(AK142=AM144,"ブポ１個計算例")))</f>
        <v>#REF!</v>
      </c>
      <c r="AM144" s="347" t="s">
        <v>184</v>
      </c>
      <c r="AN144" s="348"/>
      <c r="AO144" s="349"/>
    </row>
    <row r="145" spans="9:41" x14ac:dyDescent="0.15">
      <c r="I145" s="350"/>
      <c r="J145" s="350"/>
      <c r="K145" s="350"/>
      <c r="L145" s="350"/>
      <c r="M145" s="350"/>
      <c r="N145" s="350"/>
      <c r="O145" s="350"/>
      <c r="P145" s="350"/>
      <c r="Q145" s="350"/>
      <c r="R145" s="350"/>
      <c r="S145" s="350"/>
      <c r="T145" s="350"/>
      <c r="U145" s="350"/>
      <c r="V145" s="350"/>
      <c r="W145" s="350"/>
      <c r="X145" s="350"/>
      <c r="Y145" s="350"/>
      <c r="Z145" s="350"/>
      <c r="AA145" s="350"/>
      <c r="AK145" s="40"/>
      <c r="AL145" s="238"/>
      <c r="AM145" s="52"/>
      <c r="AN145" s="52"/>
      <c r="AO145" s="40"/>
    </row>
    <row r="146" spans="9:41" x14ac:dyDescent="0.15">
      <c r="I146" s="350"/>
      <c r="J146" s="350"/>
      <c r="K146" s="350"/>
      <c r="L146" s="350"/>
      <c r="M146" s="350"/>
      <c r="N146" s="350"/>
      <c r="O146" s="350"/>
      <c r="P146" s="350"/>
      <c r="Q146" s="350"/>
      <c r="R146" s="350"/>
      <c r="S146" s="350"/>
      <c r="T146" s="350"/>
      <c r="U146" s="350"/>
      <c r="V146" s="350"/>
      <c r="W146" s="350"/>
      <c r="X146" s="350"/>
      <c r="Y146" s="350"/>
      <c r="Z146" s="350"/>
      <c r="AA146" s="350"/>
      <c r="AK146" s="40"/>
      <c r="AL146" s="40"/>
      <c r="AM146" s="52"/>
      <c r="AN146" s="52"/>
      <c r="AO146" s="40"/>
    </row>
    <row r="147" spans="9:41" x14ac:dyDescent="0.15">
      <c r="I147" s="350"/>
      <c r="J147" s="350"/>
      <c r="K147" s="350"/>
      <c r="L147" s="350"/>
      <c r="M147" s="350"/>
      <c r="N147" s="350"/>
      <c r="O147" s="350"/>
      <c r="P147" s="350"/>
      <c r="Q147" s="350"/>
      <c r="R147" s="350"/>
      <c r="S147" s="350"/>
      <c r="T147" s="350"/>
      <c r="U147" s="350"/>
      <c r="V147" s="350"/>
      <c r="W147" s="350"/>
      <c r="X147" s="350"/>
      <c r="Y147" s="350"/>
      <c r="Z147" s="350"/>
      <c r="AA147" s="350"/>
      <c r="AK147" s="40"/>
      <c r="AL147" s="40"/>
      <c r="AM147" s="52"/>
      <c r="AN147" s="52"/>
      <c r="AO147" s="40"/>
    </row>
    <row r="148" spans="9:41" x14ac:dyDescent="0.15">
      <c r="I148" s="350"/>
      <c r="J148" s="350"/>
      <c r="K148" s="350"/>
      <c r="L148" s="350"/>
      <c r="M148" s="350"/>
      <c r="N148" s="350"/>
      <c r="O148" s="350"/>
      <c r="P148" s="350"/>
      <c r="Q148" s="350"/>
      <c r="R148" s="350"/>
      <c r="S148" s="350"/>
      <c r="T148" s="350"/>
      <c r="U148" s="350"/>
      <c r="V148" s="350"/>
      <c r="W148" s="350"/>
      <c r="X148" s="350"/>
      <c r="Y148" s="350"/>
      <c r="Z148" s="350"/>
      <c r="AA148" s="350"/>
      <c r="AK148" s="40"/>
      <c r="AL148" s="40"/>
      <c r="AM148" s="52"/>
      <c r="AN148" s="52"/>
      <c r="AO148" s="40"/>
    </row>
    <row r="149" spans="9:41" x14ac:dyDescent="0.15">
      <c r="I149" s="350"/>
      <c r="J149" s="350"/>
      <c r="K149" s="350"/>
      <c r="L149" s="350"/>
      <c r="M149" s="350"/>
      <c r="N149" s="350"/>
      <c r="O149" s="350"/>
      <c r="P149" s="350"/>
      <c r="Q149" s="350"/>
      <c r="R149" s="350"/>
      <c r="S149" s="350"/>
      <c r="T149" s="350"/>
      <c r="U149" s="350"/>
      <c r="V149" s="350"/>
      <c r="W149" s="350"/>
      <c r="X149" s="350"/>
      <c r="Y149" s="350"/>
      <c r="Z149" s="350"/>
      <c r="AA149" s="350"/>
      <c r="AK149" s="40"/>
      <c r="AL149" s="434"/>
      <c r="AM149" s="52"/>
      <c r="AN149" s="52"/>
      <c r="AO149" s="40"/>
    </row>
    <row r="150" spans="9:41" x14ac:dyDescent="0.15">
      <c r="I150" s="350"/>
      <c r="J150" s="350"/>
      <c r="K150" s="350"/>
      <c r="L150" s="350"/>
      <c r="M150" s="350"/>
      <c r="N150" s="350"/>
      <c r="O150" s="350"/>
      <c r="P150" s="350"/>
      <c r="Q150" s="350"/>
      <c r="R150" s="350"/>
      <c r="S150" s="350"/>
      <c r="T150" s="350"/>
      <c r="U150" s="350"/>
      <c r="V150" s="350"/>
      <c r="W150" s="350"/>
      <c r="X150" s="350"/>
      <c r="Y150" s="350"/>
      <c r="Z150" s="350"/>
      <c r="AA150" s="350"/>
      <c r="AK150" s="40"/>
      <c r="AL150" s="434"/>
      <c r="AM150" s="52"/>
      <c r="AN150" s="52"/>
      <c r="AO150" s="40"/>
    </row>
    <row r="151" spans="9:41" x14ac:dyDescent="0.15">
      <c r="I151" s="350"/>
      <c r="J151" s="350"/>
      <c r="K151" s="350"/>
      <c r="L151" s="350"/>
      <c r="M151" s="350"/>
      <c r="N151" s="350"/>
      <c r="O151" s="350"/>
      <c r="P151" s="350"/>
      <c r="Q151" s="350"/>
      <c r="R151" s="350"/>
      <c r="S151" s="350"/>
      <c r="T151" s="350"/>
      <c r="U151" s="350"/>
      <c r="V151" s="350"/>
      <c r="W151" s="350"/>
      <c r="X151" s="350"/>
      <c r="Y151" s="350"/>
      <c r="Z151" s="350"/>
      <c r="AA151" s="350"/>
      <c r="AK151" s="40"/>
      <c r="AL151" s="434"/>
      <c r="AM151" s="52"/>
      <c r="AN151" s="52"/>
      <c r="AO151" s="40"/>
    </row>
    <row r="152" spans="9:41" x14ac:dyDescent="0.15">
      <c r="I152" s="350"/>
      <c r="J152" s="350"/>
      <c r="K152" s="350"/>
      <c r="L152" s="350"/>
      <c r="M152" s="350"/>
      <c r="N152" s="350"/>
      <c r="O152" s="350"/>
      <c r="P152" s="350"/>
      <c r="Q152" s="350"/>
      <c r="R152" s="350"/>
      <c r="S152" s="350"/>
      <c r="T152" s="350"/>
      <c r="U152" s="350"/>
      <c r="V152" s="350"/>
      <c r="W152" s="350"/>
      <c r="X152" s="350"/>
      <c r="Y152" s="350"/>
      <c r="Z152" s="350"/>
      <c r="AA152" s="350"/>
      <c r="AK152" s="40"/>
      <c r="AL152" s="40"/>
      <c r="AM152" s="40"/>
      <c r="AN152" s="40"/>
      <c r="AO152" s="40"/>
    </row>
    <row r="153" spans="9:41" x14ac:dyDescent="0.15">
      <c r="I153" s="350"/>
      <c r="J153" s="350"/>
      <c r="K153" s="350"/>
      <c r="L153" s="350"/>
      <c r="M153" s="350"/>
      <c r="N153" s="350"/>
      <c r="O153" s="350"/>
      <c r="P153" s="350"/>
      <c r="Q153" s="350"/>
      <c r="R153" s="350"/>
      <c r="S153" s="350"/>
      <c r="T153" s="350"/>
      <c r="U153" s="350"/>
      <c r="V153" s="350"/>
      <c r="W153" s="350"/>
      <c r="X153" s="350"/>
      <c r="Y153" s="350"/>
      <c r="Z153" s="350"/>
      <c r="AA153" s="350"/>
      <c r="AK153" s="55"/>
      <c r="AL153" s="40"/>
      <c r="AM153" s="40"/>
      <c r="AN153" s="40"/>
      <c r="AO153" s="40"/>
    </row>
    <row r="154" spans="9:41" x14ac:dyDescent="0.15">
      <c r="I154" s="350"/>
      <c r="J154" s="350"/>
      <c r="K154" s="350"/>
      <c r="L154" s="350"/>
      <c r="M154" s="350"/>
      <c r="N154" s="350"/>
      <c r="O154" s="350"/>
      <c r="P154" s="350"/>
      <c r="Q154" s="350"/>
      <c r="R154" s="350"/>
      <c r="S154" s="350"/>
      <c r="T154" s="350"/>
      <c r="U154" s="350"/>
      <c r="V154" s="350"/>
      <c r="W154" s="350"/>
      <c r="X154" s="350"/>
      <c r="Y154" s="350"/>
      <c r="Z154" s="350"/>
      <c r="AA154" s="350"/>
      <c r="AK154" s="52"/>
      <c r="AL154" s="52"/>
      <c r="AM154" s="52"/>
      <c r="AN154" s="52"/>
      <c r="AO154" s="40"/>
    </row>
    <row r="155" spans="9:41" x14ac:dyDescent="0.15">
      <c r="I155" s="350"/>
      <c r="J155" s="350"/>
      <c r="K155" s="350"/>
      <c r="L155" s="350"/>
      <c r="M155" s="350"/>
      <c r="N155" s="350"/>
      <c r="O155" s="350"/>
      <c r="P155" s="350"/>
      <c r="Q155" s="350"/>
      <c r="R155" s="350"/>
      <c r="S155" s="350"/>
      <c r="T155" s="350"/>
      <c r="U155" s="350"/>
      <c r="V155" s="350"/>
      <c r="W155" s="350"/>
      <c r="X155" s="350"/>
      <c r="Y155" s="350"/>
      <c r="Z155" s="350"/>
      <c r="AA155" s="350"/>
      <c r="AK155" s="52"/>
      <c r="AL155" s="435"/>
      <c r="AM155" s="52"/>
      <c r="AN155" s="52"/>
      <c r="AO155" s="40"/>
    </row>
    <row r="156" spans="9:41" x14ac:dyDescent="0.15">
      <c r="I156" s="350"/>
      <c r="J156" s="350"/>
      <c r="K156" s="350"/>
      <c r="L156" s="350"/>
      <c r="M156" s="350"/>
      <c r="N156" s="350"/>
      <c r="O156" s="350"/>
      <c r="P156" s="350"/>
      <c r="Q156" s="350"/>
      <c r="R156" s="350"/>
      <c r="S156" s="350"/>
      <c r="T156" s="350"/>
      <c r="U156" s="350"/>
      <c r="V156" s="350"/>
      <c r="W156" s="350"/>
      <c r="X156" s="350"/>
      <c r="Y156" s="350"/>
      <c r="Z156" s="350"/>
      <c r="AA156" s="350"/>
      <c r="AK156" s="40"/>
      <c r="AL156" s="435"/>
      <c r="AM156" s="52"/>
      <c r="AN156" s="52"/>
      <c r="AO156" s="40"/>
    </row>
    <row r="157" spans="9:41" x14ac:dyDescent="0.15">
      <c r="I157" s="350"/>
      <c r="J157" s="350"/>
      <c r="K157" s="350"/>
      <c r="L157" s="350"/>
      <c r="M157" s="350"/>
      <c r="N157" s="350"/>
      <c r="O157" s="350"/>
      <c r="P157" s="350"/>
      <c r="Q157" s="350"/>
      <c r="R157" s="350"/>
      <c r="S157" s="350"/>
      <c r="T157" s="350"/>
      <c r="U157" s="350"/>
      <c r="V157" s="350"/>
      <c r="W157" s="350"/>
      <c r="X157" s="350"/>
      <c r="Y157" s="350"/>
      <c r="Z157" s="350"/>
      <c r="AA157" s="350"/>
      <c r="AK157" s="40"/>
      <c r="AL157" s="435"/>
      <c r="AM157" s="52"/>
      <c r="AN157" s="52"/>
      <c r="AO157" s="40"/>
    </row>
    <row r="158" spans="9:41" x14ac:dyDescent="0.15">
      <c r="I158" s="350"/>
      <c r="J158" s="350"/>
      <c r="K158" s="350"/>
      <c r="L158" s="350"/>
      <c r="M158" s="350"/>
      <c r="N158" s="350"/>
      <c r="O158" s="350"/>
      <c r="P158" s="350"/>
      <c r="Q158" s="350"/>
      <c r="R158" s="350"/>
      <c r="S158" s="350"/>
      <c r="T158" s="350"/>
      <c r="U158" s="350"/>
      <c r="V158" s="350"/>
      <c r="W158" s="350"/>
      <c r="X158" s="350"/>
      <c r="Y158" s="350"/>
      <c r="Z158" s="350"/>
      <c r="AA158" s="350"/>
      <c r="AK158" s="40"/>
      <c r="AL158" s="434"/>
      <c r="AM158" s="52"/>
      <c r="AN158" s="52"/>
      <c r="AO158" s="40"/>
    </row>
    <row r="159" spans="9:41" x14ac:dyDescent="0.15">
      <c r="I159" s="350"/>
      <c r="J159" s="350"/>
      <c r="K159" s="350"/>
      <c r="L159" s="350"/>
      <c r="M159" s="350"/>
      <c r="N159" s="350"/>
      <c r="O159" s="350"/>
      <c r="P159" s="350"/>
      <c r="Q159" s="350"/>
      <c r="R159" s="350"/>
      <c r="S159" s="350"/>
      <c r="T159" s="350"/>
      <c r="U159" s="350"/>
      <c r="V159" s="350"/>
      <c r="W159" s="350"/>
      <c r="X159" s="350"/>
      <c r="Y159" s="350"/>
      <c r="Z159" s="350"/>
      <c r="AA159" s="350"/>
      <c r="AK159" s="40"/>
      <c r="AL159" s="434"/>
      <c r="AM159" s="52"/>
      <c r="AN159" s="52"/>
      <c r="AO159" s="40"/>
    </row>
    <row r="160" spans="9:41" x14ac:dyDescent="0.15">
      <c r="AK160" s="40"/>
      <c r="AL160" s="434"/>
      <c r="AM160" s="52"/>
      <c r="AN160" s="52"/>
      <c r="AO160" s="40"/>
    </row>
    <row r="161" spans="9:41" x14ac:dyDescent="0.15">
      <c r="AK161" s="40"/>
      <c r="AL161" s="434"/>
      <c r="AM161" s="52"/>
      <c r="AN161" s="52"/>
      <c r="AO161" s="40"/>
    </row>
    <row r="162" spans="9:41" x14ac:dyDescent="0.15">
      <c r="I162" s="350"/>
      <c r="J162" s="350"/>
      <c r="K162" s="350"/>
      <c r="L162" s="350"/>
      <c r="M162" s="350"/>
      <c r="N162" s="350"/>
      <c r="O162" s="350"/>
      <c r="P162" s="350"/>
      <c r="Q162" s="350"/>
      <c r="R162" s="350"/>
      <c r="S162" s="350"/>
      <c r="T162" s="350"/>
      <c r="U162" s="350"/>
      <c r="V162" s="350"/>
      <c r="W162" s="350"/>
      <c r="X162" s="350"/>
      <c r="Y162" s="350"/>
      <c r="Z162" s="350"/>
      <c r="AA162" s="350"/>
      <c r="AK162" s="40"/>
      <c r="AL162" s="434"/>
      <c r="AM162" s="52"/>
      <c r="AN162" s="52"/>
      <c r="AO162" s="40"/>
    </row>
    <row r="163" spans="9:41" x14ac:dyDescent="0.15">
      <c r="I163" s="350"/>
      <c r="J163" s="350"/>
      <c r="K163" s="350"/>
      <c r="L163" s="350"/>
      <c r="M163" s="350"/>
      <c r="N163" s="350"/>
      <c r="O163" s="350"/>
      <c r="P163" s="350"/>
      <c r="Q163" s="350"/>
      <c r="R163" s="350"/>
      <c r="S163" s="350"/>
      <c r="T163" s="350"/>
      <c r="U163" s="350"/>
      <c r="V163" s="350"/>
      <c r="W163" s="350"/>
      <c r="X163" s="350"/>
      <c r="Y163" s="350"/>
      <c r="Z163" s="350"/>
      <c r="AA163" s="350"/>
      <c r="AK163" s="40"/>
      <c r="AL163" s="434"/>
      <c r="AM163" s="52"/>
      <c r="AN163" s="52"/>
      <c r="AO163" s="40"/>
    </row>
    <row r="164" spans="9:41" x14ac:dyDescent="0.15">
      <c r="I164" s="350"/>
      <c r="J164" s="350"/>
      <c r="K164" s="264"/>
      <c r="L164" s="350"/>
      <c r="M164" s="350"/>
      <c r="N164" s="350"/>
      <c r="O164" s="350"/>
      <c r="P164" s="350"/>
      <c r="Q164" s="350"/>
      <c r="R164" s="350"/>
      <c r="S164" s="350"/>
      <c r="T164" s="350"/>
      <c r="U164" s="350"/>
      <c r="V164" s="350"/>
      <c r="W164" s="350"/>
      <c r="X164" s="350"/>
      <c r="Y164" s="350"/>
      <c r="Z164" s="350"/>
      <c r="AA164" s="350"/>
      <c r="AK164" s="40"/>
      <c r="AL164" s="40"/>
      <c r="AM164" s="40"/>
      <c r="AN164" s="40"/>
      <c r="AO164" s="40"/>
    </row>
    <row r="165" spans="9:41" x14ac:dyDescent="0.15">
      <c r="I165" s="350"/>
      <c r="J165" s="350"/>
      <c r="K165" s="350"/>
      <c r="L165" s="350"/>
      <c r="M165" s="350"/>
      <c r="N165" s="350"/>
      <c r="O165" s="350"/>
      <c r="P165" s="350"/>
      <c r="Q165" s="350"/>
      <c r="R165" s="350"/>
      <c r="S165" s="350"/>
      <c r="T165" s="350"/>
      <c r="U165" s="350"/>
      <c r="V165" s="350"/>
      <c r="W165" s="350"/>
      <c r="X165" s="350"/>
      <c r="Y165" s="350"/>
      <c r="Z165" s="350"/>
      <c r="AA165" s="350"/>
      <c r="AK165" s="55"/>
      <c r="AL165" s="40"/>
      <c r="AM165" s="40"/>
      <c r="AN165" s="40"/>
      <c r="AO165" s="40"/>
    </row>
    <row r="166" spans="9:41" x14ac:dyDescent="0.15">
      <c r="I166" s="350"/>
      <c r="J166" s="350"/>
      <c r="K166" s="350"/>
      <c r="L166" s="350"/>
      <c r="M166" s="350"/>
      <c r="N166" s="350"/>
      <c r="O166" s="350"/>
      <c r="P166" s="350"/>
      <c r="Q166" s="350"/>
      <c r="R166" s="350"/>
      <c r="S166" s="350"/>
      <c r="T166" s="350"/>
      <c r="U166" s="350"/>
      <c r="V166" s="350"/>
      <c r="W166" s="350"/>
      <c r="X166" s="350"/>
      <c r="Y166" s="350"/>
      <c r="Z166" s="350"/>
      <c r="AA166" s="350"/>
      <c r="AK166" s="52"/>
      <c r="AL166" s="52"/>
      <c r="AM166" s="52"/>
      <c r="AN166" s="52"/>
      <c r="AO166" s="40"/>
    </row>
    <row r="167" spans="9:41" x14ac:dyDescent="0.15">
      <c r="I167" s="350"/>
      <c r="J167" s="350"/>
      <c r="K167" s="350"/>
      <c r="L167" s="350"/>
      <c r="M167" s="350"/>
      <c r="N167" s="350"/>
      <c r="O167" s="350"/>
      <c r="P167" s="350"/>
      <c r="Q167" s="350"/>
      <c r="R167" s="350"/>
      <c r="S167" s="350"/>
      <c r="T167" s="350"/>
      <c r="U167" s="350"/>
      <c r="V167" s="350"/>
      <c r="W167" s="350"/>
      <c r="X167" s="350"/>
      <c r="Y167" s="350"/>
      <c r="Z167" s="350"/>
      <c r="AA167" s="350"/>
      <c r="AK167" s="52"/>
      <c r="AL167" s="435"/>
      <c r="AM167" s="52"/>
      <c r="AN167" s="52"/>
      <c r="AO167" s="40"/>
    </row>
    <row r="168" spans="9:41" x14ac:dyDescent="0.15">
      <c r="I168" s="350"/>
      <c r="J168" s="350"/>
      <c r="K168" s="350"/>
      <c r="L168" s="350"/>
      <c r="M168" s="350"/>
      <c r="N168" s="350"/>
      <c r="O168" s="350"/>
      <c r="P168" s="350"/>
      <c r="Q168" s="350"/>
      <c r="R168" s="350"/>
      <c r="S168" s="350"/>
      <c r="T168" s="350"/>
      <c r="U168" s="350"/>
      <c r="V168" s="350"/>
      <c r="W168" s="350"/>
      <c r="X168" s="350"/>
      <c r="Y168" s="350"/>
      <c r="Z168" s="350"/>
      <c r="AA168" s="350"/>
      <c r="AK168" s="40"/>
      <c r="AL168" s="435"/>
      <c r="AM168" s="52"/>
      <c r="AN168" s="52"/>
      <c r="AO168" s="40"/>
    </row>
    <row r="169" spans="9:41" x14ac:dyDescent="0.15">
      <c r="I169" s="350"/>
      <c r="J169" s="350"/>
      <c r="K169" s="350"/>
      <c r="L169" s="350"/>
      <c r="M169" s="350"/>
      <c r="N169" s="350"/>
      <c r="O169" s="350"/>
      <c r="P169" s="350"/>
      <c r="Q169" s="350"/>
      <c r="R169" s="350"/>
      <c r="S169" s="350"/>
      <c r="T169" s="350"/>
      <c r="U169" s="350"/>
      <c r="V169" s="350"/>
      <c r="W169" s="350"/>
      <c r="X169" s="350"/>
      <c r="Y169" s="350"/>
      <c r="Z169" s="350"/>
      <c r="AA169" s="350"/>
      <c r="AK169" s="40"/>
      <c r="AL169" s="435"/>
      <c r="AM169" s="52"/>
      <c r="AN169" s="52"/>
      <c r="AO169" s="40"/>
    </row>
    <row r="170" spans="9:41" x14ac:dyDescent="0.15">
      <c r="I170" s="350"/>
      <c r="J170" s="350"/>
      <c r="K170" s="350"/>
      <c r="L170" s="350"/>
      <c r="M170" s="350"/>
      <c r="N170" s="350"/>
      <c r="O170" s="350"/>
      <c r="P170" s="350"/>
      <c r="Q170" s="350"/>
      <c r="R170" s="350"/>
      <c r="S170" s="350"/>
      <c r="T170" s="350"/>
      <c r="U170" s="350"/>
      <c r="V170" s="350"/>
      <c r="W170" s="350"/>
      <c r="X170" s="350"/>
      <c r="Y170" s="350"/>
      <c r="Z170" s="350"/>
      <c r="AA170" s="350"/>
      <c r="AK170" s="40"/>
      <c r="AL170" s="434"/>
      <c r="AM170" s="52"/>
      <c r="AN170" s="52"/>
      <c r="AO170" s="40"/>
    </row>
    <row r="171" spans="9:41" x14ac:dyDescent="0.15">
      <c r="I171" s="350"/>
      <c r="J171" s="350"/>
      <c r="K171" s="350"/>
      <c r="L171" s="350"/>
      <c r="M171" s="350"/>
      <c r="N171" s="350"/>
      <c r="O171" s="350"/>
      <c r="P171" s="350"/>
      <c r="Q171" s="350"/>
      <c r="R171" s="350"/>
      <c r="S171" s="350"/>
      <c r="T171" s="350"/>
      <c r="U171" s="350"/>
      <c r="V171" s="350"/>
      <c r="W171" s="350"/>
      <c r="X171" s="350"/>
      <c r="Y171" s="350"/>
      <c r="Z171" s="350"/>
      <c r="AA171" s="350"/>
      <c r="AK171" s="40"/>
      <c r="AL171" s="434"/>
      <c r="AM171" s="52"/>
      <c r="AN171" s="52"/>
      <c r="AO171" s="40"/>
    </row>
    <row r="172" spans="9:41" x14ac:dyDescent="0.15">
      <c r="I172" s="350"/>
      <c r="J172" s="350"/>
      <c r="K172" s="350"/>
      <c r="L172" s="350"/>
      <c r="M172" s="350"/>
      <c r="N172" s="350"/>
      <c r="O172" s="350"/>
      <c r="P172" s="350"/>
      <c r="Q172" s="350"/>
      <c r="R172" s="350"/>
      <c r="S172" s="350"/>
      <c r="T172" s="350"/>
      <c r="U172" s="350"/>
      <c r="V172" s="350"/>
      <c r="W172" s="350"/>
      <c r="X172" s="350"/>
      <c r="Y172" s="350"/>
      <c r="Z172" s="350"/>
      <c r="AA172" s="350"/>
      <c r="AK172" s="40"/>
      <c r="AL172" s="434"/>
      <c r="AM172" s="52"/>
      <c r="AN172" s="52"/>
      <c r="AO172" s="40"/>
    </row>
    <row r="173" spans="9:41" x14ac:dyDescent="0.15">
      <c r="I173" s="350"/>
      <c r="J173" s="350"/>
      <c r="K173" s="350"/>
      <c r="L173" s="350"/>
      <c r="M173" s="350"/>
      <c r="N173" s="350"/>
      <c r="O173" s="350"/>
      <c r="P173" s="350"/>
      <c r="Q173" s="350"/>
      <c r="R173" s="350"/>
      <c r="S173" s="350"/>
      <c r="T173" s="350"/>
      <c r="U173" s="350"/>
      <c r="V173" s="350"/>
      <c r="W173" s="350"/>
      <c r="X173" s="350"/>
      <c r="Y173" s="350"/>
      <c r="Z173" s="350"/>
      <c r="AA173" s="350"/>
      <c r="AK173" s="40"/>
      <c r="AL173" s="434"/>
      <c r="AM173" s="52"/>
      <c r="AN173" s="52"/>
      <c r="AO173" s="40"/>
    </row>
    <row r="174" spans="9:41" x14ac:dyDescent="0.15">
      <c r="I174" s="350"/>
      <c r="J174" s="350"/>
      <c r="K174" s="350"/>
      <c r="L174" s="350"/>
      <c r="M174" s="350"/>
      <c r="N174" s="350"/>
      <c r="O174" s="350"/>
      <c r="P174" s="350"/>
      <c r="Q174" s="350"/>
      <c r="R174" s="350"/>
      <c r="S174" s="350"/>
      <c r="T174" s="350"/>
      <c r="U174" s="350"/>
      <c r="V174" s="350"/>
      <c r="W174" s="350"/>
      <c r="X174" s="350"/>
      <c r="Y174" s="350"/>
      <c r="Z174" s="350"/>
      <c r="AA174" s="350"/>
      <c r="AK174" s="40"/>
      <c r="AL174" s="434"/>
      <c r="AM174" s="52"/>
      <c r="AN174" s="52"/>
      <c r="AO174" s="40"/>
    </row>
    <row r="175" spans="9:41" x14ac:dyDescent="0.15">
      <c r="I175" s="350"/>
      <c r="J175" s="350"/>
      <c r="K175" s="350"/>
      <c r="L175" s="350"/>
      <c r="M175" s="350"/>
      <c r="N175" s="350"/>
      <c r="O175" s="350"/>
      <c r="P175" s="350"/>
      <c r="Q175" s="350"/>
      <c r="R175" s="350"/>
      <c r="S175" s="350"/>
      <c r="T175" s="350"/>
      <c r="U175" s="350"/>
      <c r="V175" s="350"/>
      <c r="W175" s="350"/>
      <c r="X175" s="350"/>
      <c r="Y175" s="350"/>
      <c r="Z175" s="350"/>
      <c r="AA175" s="350"/>
      <c r="AK175" s="40"/>
      <c r="AL175" s="434"/>
      <c r="AM175" s="52"/>
      <c r="AN175" s="52"/>
      <c r="AO175" s="40"/>
    </row>
    <row r="176" spans="9:41" x14ac:dyDescent="0.15">
      <c r="I176" s="350"/>
      <c r="J176" s="350"/>
      <c r="K176" s="350"/>
      <c r="L176" s="350"/>
      <c r="M176" s="350"/>
      <c r="N176" s="350"/>
      <c r="O176" s="350"/>
      <c r="P176" s="350"/>
      <c r="Q176" s="350"/>
      <c r="R176" s="350"/>
      <c r="S176" s="350"/>
      <c r="T176" s="350"/>
      <c r="U176" s="350"/>
      <c r="V176" s="350"/>
      <c r="W176" s="350"/>
      <c r="X176" s="350"/>
      <c r="Y176" s="350"/>
      <c r="Z176" s="350"/>
      <c r="AA176" s="350"/>
      <c r="AK176" s="40"/>
      <c r="AL176" s="40"/>
      <c r="AM176" s="40"/>
      <c r="AN176" s="40"/>
      <c r="AO176" s="40"/>
    </row>
    <row r="177" spans="9:41" x14ac:dyDescent="0.15">
      <c r="I177" s="350"/>
      <c r="J177" s="350"/>
      <c r="K177" s="350"/>
      <c r="L177" s="350"/>
      <c r="M177" s="350"/>
      <c r="N177" s="350"/>
      <c r="O177" s="350"/>
      <c r="P177" s="350"/>
      <c r="Q177" s="350"/>
      <c r="R177" s="350"/>
      <c r="S177" s="350"/>
      <c r="T177" s="350"/>
      <c r="U177" s="350"/>
      <c r="V177" s="350"/>
      <c r="W177" s="350"/>
      <c r="X177" s="350"/>
      <c r="Y177" s="350"/>
      <c r="Z177" s="350"/>
      <c r="AA177" s="350"/>
      <c r="AK177" s="55"/>
      <c r="AL177" s="40"/>
      <c r="AM177" s="40"/>
      <c r="AN177" s="40"/>
      <c r="AO177" s="40"/>
    </row>
    <row r="178" spans="9:41" x14ac:dyDescent="0.15">
      <c r="I178" s="350"/>
      <c r="J178" s="350"/>
      <c r="K178" s="350"/>
      <c r="L178" s="350"/>
      <c r="M178" s="350"/>
      <c r="N178" s="350"/>
      <c r="O178" s="350"/>
      <c r="P178" s="350"/>
      <c r="Q178" s="350"/>
      <c r="R178" s="350"/>
      <c r="S178" s="350"/>
      <c r="T178" s="350"/>
      <c r="U178" s="350"/>
      <c r="V178" s="350"/>
      <c r="W178" s="350"/>
      <c r="X178" s="350"/>
      <c r="Y178" s="350"/>
      <c r="Z178" s="350"/>
      <c r="AA178" s="350"/>
      <c r="AK178" s="52"/>
      <c r="AL178" s="52"/>
      <c r="AM178" s="52"/>
      <c r="AN178" s="52"/>
      <c r="AO178" s="40"/>
    </row>
    <row r="179" spans="9:41" x14ac:dyDescent="0.15">
      <c r="I179" s="350"/>
      <c r="J179" s="350"/>
      <c r="K179" s="350"/>
      <c r="L179" s="350"/>
      <c r="M179" s="350"/>
      <c r="N179" s="350"/>
      <c r="O179" s="350"/>
      <c r="P179" s="350"/>
      <c r="Q179" s="350"/>
      <c r="R179" s="350"/>
      <c r="S179" s="350"/>
      <c r="T179" s="350"/>
      <c r="U179" s="350"/>
      <c r="V179" s="350"/>
      <c r="W179" s="350"/>
      <c r="X179" s="350"/>
      <c r="Y179" s="350"/>
      <c r="Z179" s="350"/>
      <c r="AA179" s="350"/>
      <c r="AK179" s="52"/>
      <c r="AL179" s="435"/>
      <c r="AM179" s="52"/>
      <c r="AN179" s="52"/>
      <c r="AO179" s="40"/>
    </row>
    <row r="180" spans="9:41" x14ac:dyDescent="0.15">
      <c r="AK180" s="40"/>
      <c r="AL180" s="435"/>
      <c r="AM180" s="52"/>
      <c r="AN180" s="52"/>
      <c r="AO180" s="40"/>
    </row>
    <row r="181" spans="9:41" x14ac:dyDescent="0.15">
      <c r="I181"/>
      <c r="K181"/>
      <c r="AK181" s="40"/>
      <c r="AL181" s="435"/>
      <c r="AM181" s="52"/>
      <c r="AN181" s="52"/>
      <c r="AO181" s="40"/>
    </row>
    <row r="182" spans="9:41" x14ac:dyDescent="0.15">
      <c r="AK182" s="40"/>
      <c r="AL182" s="434"/>
      <c r="AM182" s="52"/>
      <c r="AN182" s="52"/>
      <c r="AO182" s="40"/>
    </row>
    <row r="183" spans="9:41" x14ac:dyDescent="0.15">
      <c r="AK183" s="40"/>
      <c r="AL183" s="434"/>
      <c r="AM183" s="52"/>
      <c r="AN183" s="52"/>
      <c r="AO183" s="40"/>
    </row>
    <row r="184" spans="9:41" x14ac:dyDescent="0.15">
      <c r="AK184" s="40"/>
      <c r="AL184" s="434"/>
      <c r="AM184" s="52"/>
      <c r="AN184" s="52"/>
      <c r="AO184" s="40"/>
    </row>
    <row r="185" spans="9:41" x14ac:dyDescent="0.15">
      <c r="AK185" s="40"/>
      <c r="AL185" s="434"/>
      <c r="AM185" s="52"/>
      <c r="AN185" s="52"/>
      <c r="AO185" s="40"/>
    </row>
    <row r="186" spans="9:41" x14ac:dyDescent="0.15">
      <c r="AK186" s="40"/>
      <c r="AL186" s="434"/>
      <c r="AM186" s="52"/>
      <c r="AN186" s="52"/>
      <c r="AO186" s="40"/>
    </row>
    <row r="187" spans="9:41" x14ac:dyDescent="0.15">
      <c r="AK187" s="40"/>
      <c r="AL187" s="434"/>
      <c r="AM187" s="52"/>
      <c r="AN187" s="52"/>
      <c r="AO187" s="40"/>
    </row>
    <row r="188" spans="9:41" x14ac:dyDescent="0.15">
      <c r="AK188" s="40"/>
      <c r="AL188" s="40"/>
      <c r="AM188" s="40"/>
      <c r="AN188" s="40"/>
      <c r="AO188" s="40"/>
    </row>
    <row r="189" spans="9:41" x14ac:dyDescent="0.15">
      <c r="AK189" s="55"/>
      <c r="AL189" s="40"/>
      <c r="AM189" s="40"/>
      <c r="AN189" s="40"/>
      <c r="AO189" s="40"/>
    </row>
    <row r="190" spans="9:41" x14ac:dyDescent="0.15">
      <c r="AK190" s="52"/>
      <c r="AL190" s="52"/>
      <c r="AM190" s="52"/>
      <c r="AN190" s="52"/>
      <c r="AO190" s="40"/>
    </row>
    <row r="191" spans="9:41" x14ac:dyDescent="0.15">
      <c r="AK191" s="52"/>
      <c r="AL191" s="435"/>
      <c r="AM191" s="52"/>
      <c r="AN191" s="52"/>
      <c r="AO191" s="40"/>
    </row>
    <row r="192" spans="9:41" x14ac:dyDescent="0.15">
      <c r="AK192" s="40"/>
      <c r="AL192" s="435"/>
      <c r="AM192" s="52"/>
      <c r="AN192" s="52"/>
      <c r="AO192" s="40"/>
    </row>
    <row r="193" spans="37:41" x14ac:dyDescent="0.15">
      <c r="AK193" s="40"/>
      <c r="AL193" s="435"/>
      <c r="AM193" s="52"/>
      <c r="AN193" s="52"/>
      <c r="AO193" s="40"/>
    </row>
    <row r="194" spans="37:41" x14ac:dyDescent="0.15">
      <c r="AK194" s="40"/>
      <c r="AL194" s="434"/>
      <c r="AM194" s="52"/>
      <c r="AN194" s="52"/>
      <c r="AO194" s="40"/>
    </row>
    <row r="195" spans="37:41" x14ac:dyDescent="0.15">
      <c r="AK195" s="40"/>
      <c r="AL195" s="434"/>
      <c r="AM195" s="52"/>
      <c r="AN195" s="52"/>
      <c r="AO195" s="40"/>
    </row>
    <row r="196" spans="37:41" x14ac:dyDescent="0.15">
      <c r="AK196" s="40"/>
      <c r="AL196" s="434"/>
      <c r="AM196" s="52"/>
      <c r="AN196" s="52"/>
      <c r="AO196" s="40"/>
    </row>
    <row r="197" spans="37:41" x14ac:dyDescent="0.15">
      <c r="AK197" s="40"/>
      <c r="AL197" s="434"/>
      <c r="AM197" s="52"/>
      <c r="AN197" s="52"/>
      <c r="AO197" s="40"/>
    </row>
    <row r="198" spans="37:41" x14ac:dyDescent="0.15">
      <c r="AK198" s="40"/>
      <c r="AL198" s="434"/>
      <c r="AM198" s="52"/>
      <c r="AN198" s="52"/>
      <c r="AO198" s="40"/>
    </row>
    <row r="199" spans="37:41" x14ac:dyDescent="0.15">
      <c r="AK199" s="40"/>
      <c r="AL199" s="434"/>
      <c r="AM199" s="52"/>
      <c r="AN199" s="52"/>
      <c r="AO199" s="40"/>
    </row>
    <row r="200" spans="37:41" x14ac:dyDescent="0.15">
      <c r="AK200" s="40"/>
      <c r="AL200" s="40"/>
      <c r="AM200" s="40"/>
      <c r="AN200" s="40"/>
      <c r="AO200" s="40"/>
    </row>
    <row r="201" spans="37:41" x14ac:dyDescent="0.15">
      <c r="AK201" s="55"/>
      <c r="AL201" s="40"/>
      <c r="AM201" s="40"/>
      <c r="AN201" s="40"/>
      <c r="AO201" s="40"/>
    </row>
    <row r="202" spans="37:41" x14ac:dyDescent="0.15">
      <c r="AK202" s="52"/>
      <c r="AL202" s="52"/>
      <c r="AM202" s="52"/>
      <c r="AN202" s="52"/>
      <c r="AO202" s="40"/>
    </row>
    <row r="203" spans="37:41" x14ac:dyDescent="0.15">
      <c r="AK203" s="52"/>
      <c r="AL203" s="435"/>
      <c r="AM203" s="52"/>
      <c r="AN203" s="52"/>
      <c r="AO203" s="40"/>
    </row>
    <row r="204" spans="37:41" x14ac:dyDescent="0.15">
      <c r="AK204" s="40"/>
      <c r="AL204" s="435"/>
      <c r="AM204" s="52"/>
      <c r="AN204" s="52"/>
      <c r="AO204" s="40"/>
    </row>
    <row r="205" spans="37:41" x14ac:dyDescent="0.15">
      <c r="AK205" s="40"/>
      <c r="AL205" s="435"/>
      <c r="AM205" s="52"/>
      <c r="AN205" s="52"/>
      <c r="AO205" s="40"/>
    </row>
    <row r="206" spans="37:41" x14ac:dyDescent="0.15">
      <c r="AK206" s="40"/>
      <c r="AL206" s="434"/>
      <c r="AM206" s="52"/>
      <c r="AN206" s="52"/>
      <c r="AO206" s="40"/>
    </row>
    <row r="207" spans="37:41" x14ac:dyDescent="0.15">
      <c r="AK207" s="40"/>
      <c r="AL207" s="434"/>
      <c r="AM207" s="52"/>
      <c r="AN207" s="52"/>
      <c r="AO207" s="40"/>
    </row>
    <row r="208" spans="37:41" x14ac:dyDescent="0.15">
      <c r="AK208" s="40"/>
      <c r="AL208" s="434"/>
      <c r="AM208" s="52"/>
      <c r="AN208" s="52"/>
      <c r="AO208" s="40"/>
    </row>
    <row r="209" spans="37:41" x14ac:dyDescent="0.15">
      <c r="AK209" s="40"/>
      <c r="AL209" s="434"/>
      <c r="AM209" s="52"/>
      <c r="AN209" s="52"/>
      <c r="AO209" s="40"/>
    </row>
    <row r="210" spans="37:41" x14ac:dyDescent="0.15">
      <c r="AK210" s="40"/>
      <c r="AL210" s="434"/>
      <c r="AM210" s="52"/>
      <c r="AN210" s="52"/>
      <c r="AO210" s="40"/>
    </row>
    <row r="211" spans="37:41" x14ac:dyDescent="0.15">
      <c r="AK211" s="40"/>
      <c r="AL211" s="434"/>
      <c r="AM211" s="52"/>
      <c r="AN211" s="52"/>
      <c r="AO211" s="40"/>
    </row>
    <row r="212" spans="37:41" x14ac:dyDescent="0.15">
      <c r="AK212" s="40"/>
      <c r="AL212" s="40"/>
      <c r="AM212" s="40"/>
      <c r="AN212" s="40"/>
      <c r="AO212" s="40"/>
    </row>
    <row r="213" spans="37:41" x14ac:dyDescent="0.15">
      <c r="AK213" s="55"/>
      <c r="AL213" s="40"/>
      <c r="AM213" s="40"/>
      <c r="AN213" s="40"/>
      <c r="AO213" s="40"/>
    </row>
    <row r="214" spans="37:41" x14ac:dyDescent="0.15">
      <c r="AK214" s="52"/>
      <c r="AL214" s="52"/>
      <c r="AM214" s="52"/>
      <c r="AN214" s="52"/>
      <c r="AO214" s="40"/>
    </row>
    <row r="215" spans="37:41" x14ac:dyDescent="0.15">
      <c r="AK215" s="52"/>
      <c r="AL215" s="435"/>
      <c r="AM215" s="52"/>
      <c r="AN215" s="52"/>
      <c r="AO215" s="40"/>
    </row>
    <row r="216" spans="37:41" x14ac:dyDescent="0.15">
      <c r="AK216" s="40"/>
      <c r="AL216" s="435"/>
      <c r="AM216" s="52"/>
      <c r="AN216" s="52"/>
      <c r="AO216" s="40"/>
    </row>
    <row r="217" spans="37:41" x14ac:dyDescent="0.15">
      <c r="AK217" s="40"/>
      <c r="AL217" s="435"/>
      <c r="AM217" s="52"/>
      <c r="AN217" s="52"/>
      <c r="AO217" s="40"/>
    </row>
    <row r="218" spans="37:41" x14ac:dyDescent="0.15">
      <c r="AK218" s="40"/>
      <c r="AL218" s="434"/>
      <c r="AM218" s="52"/>
      <c r="AN218" s="52"/>
      <c r="AO218" s="40"/>
    </row>
    <row r="219" spans="37:41" x14ac:dyDescent="0.15">
      <c r="AK219" s="40"/>
      <c r="AL219" s="434"/>
      <c r="AM219" s="52"/>
      <c r="AN219" s="52"/>
      <c r="AO219" s="40"/>
    </row>
    <row r="220" spans="37:41" x14ac:dyDescent="0.15">
      <c r="AK220" s="40"/>
      <c r="AL220" s="434"/>
      <c r="AM220" s="52"/>
      <c r="AN220" s="52"/>
      <c r="AO220" s="40"/>
    </row>
    <row r="221" spans="37:41" x14ac:dyDescent="0.15">
      <c r="AK221" s="40"/>
      <c r="AL221" s="434"/>
      <c r="AM221" s="52"/>
      <c r="AN221" s="52"/>
      <c r="AO221" s="40"/>
    </row>
    <row r="222" spans="37:41" x14ac:dyDescent="0.15">
      <c r="AK222" s="40"/>
      <c r="AL222" s="434"/>
      <c r="AM222" s="52"/>
      <c r="AN222" s="52"/>
      <c r="AO222" s="40"/>
    </row>
    <row r="223" spans="37:41" x14ac:dyDescent="0.15">
      <c r="AK223" s="40"/>
      <c r="AL223" s="434"/>
      <c r="AM223" s="52"/>
      <c r="AN223" s="52"/>
      <c r="AO223" s="40"/>
    </row>
    <row r="224" spans="37:41" x14ac:dyDescent="0.15">
      <c r="AK224" s="40"/>
      <c r="AL224" s="40"/>
      <c r="AM224" s="40"/>
      <c r="AN224" s="40"/>
      <c r="AO224" s="40"/>
    </row>
    <row r="225" spans="37:41" x14ac:dyDescent="0.15">
      <c r="AK225" s="55"/>
      <c r="AL225" s="40"/>
      <c r="AM225" s="40"/>
      <c r="AN225" s="40"/>
      <c r="AO225" s="40"/>
    </row>
    <row r="226" spans="37:41" x14ac:dyDescent="0.15">
      <c r="AK226" s="52"/>
      <c r="AL226" s="52"/>
      <c r="AM226" s="52"/>
      <c r="AN226" s="52"/>
      <c r="AO226" s="40"/>
    </row>
    <row r="227" spans="37:41" x14ac:dyDescent="0.15">
      <c r="AK227" s="52"/>
      <c r="AL227" s="435"/>
      <c r="AM227" s="52"/>
      <c r="AN227" s="52"/>
      <c r="AO227" s="40"/>
    </row>
    <row r="228" spans="37:41" x14ac:dyDescent="0.15">
      <c r="AK228" s="40"/>
      <c r="AL228" s="435"/>
      <c r="AM228" s="52"/>
      <c r="AN228" s="52"/>
      <c r="AO228" s="40"/>
    </row>
    <row r="229" spans="37:41" x14ac:dyDescent="0.15">
      <c r="AK229" s="40"/>
      <c r="AL229" s="435"/>
      <c r="AM229" s="52"/>
      <c r="AN229" s="52"/>
      <c r="AO229" s="40"/>
    </row>
    <row r="230" spans="37:41" x14ac:dyDescent="0.15">
      <c r="AK230" s="40"/>
      <c r="AL230" s="434"/>
      <c r="AM230" s="52"/>
      <c r="AN230" s="52"/>
      <c r="AO230" s="40"/>
    </row>
    <row r="231" spans="37:41" x14ac:dyDescent="0.15">
      <c r="AK231" s="40"/>
      <c r="AL231" s="434"/>
      <c r="AM231" s="52"/>
      <c r="AN231" s="52"/>
      <c r="AO231" s="40"/>
    </row>
    <row r="232" spans="37:41" x14ac:dyDescent="0.15">
      <c r="AK232" s="40"/>
      <c r="AL232" s="434"/>
      <c r="AM232" s="52"/>
      <c r="AN232" s="52"/>
      <c r="AO232" s="40"/>
    </row>
    <row r="233" spans="37:41" x14ac:dyDescent="0.15">
      <c r="AK233" s="40"/>
      <c r="AL233" s="434"/>
      <c r="AM233" s="52"/>
      <c r="AN233" s="52"/>
      <c r="AO233" s="40"/>
    </row>
    <row r="234" spans="37:41" x14ac:dyDescent="0.15">
      <c r="AK234" s="40"/>
      <c r="AL234" s="434"/>
      <c r="AM234" s="52"/>
      <c r="AN234" s="52"/>
      <c r="AO234" s="40"/>
    </row>
    <row r="235" spans="37:41" x14ac:dyDescent="0.15">
      <c r="AK235" s="40"/>
      <c r="AL235" s="434"/>
      <c r="AM235" s="52"/>
      <c r="AN235" s="52"/>
      <c r="AO235" s="40"/>
    </row>
    <row r="236" spans="37:41" x14ac:dyDescent="0.15">
      <c r="AK236" s="40"/>
      <c r="AL236" s="40"/>
      <c r="AM236" s="40"/>
      <c r="AN236" s="40"/>
      <c r="AO236" s="40"/>
    </row>
    <row r="237" spans="37:41" x14ac:dyDescent="0.15">
      <c r="AK237" s="40"/>
      <c r="AL237" s="40"/>
      <c r="AM237" s="40"/>
      <c r="AN237" s="40"/>
      <c r="AO237" s="40"/>
    </row>
    <row r="238" spans="37:41" x14ac:dyDescent="0.15">
      <c r="AK238" s="40"/>
      <c r="AL238" s="40"/>
      <c r="AM238" s="40"/>
      <c r="AN238" s="40"/>
      <c r="AO238" s="40"/>
    </row>
    <row r="239" spans="37:41" x14ac:dyDescent="0.15">
      <c r="AK239" s="40"/>
      <c r="AL239" s="40"/>
      <c r="AM239" s="40"/>
      <c r="AN239" s="40"/>
      <c r="AO239" s="40"/>
    </row>
    <row r="240" spans="37:41" x14ac:dyDescent="0.15">
      <c r="AK240" s="40"/>
      <c r="AL240" s="40"/>
      <c r="AM240" s="40"/>
      <c r="AN240" s="40"/>
      <c r="AO240" s="40"/>
    </row>
    <row r="241" spans="37:41" x14ac:dyDescent="0.15">
      <c r="AK241" s="40"/>
      <c r="AL241" s="40"/>
      <c r="AM241" s="40"/>
      <c r="AN241" s="40"/>
      <c r="AO241" s="40"/>
    </row>
    <row r="242" spans="37:41" x14ac:dyDescent="0.15">
      <c r="AK242" s="40"/>
      <c r="AL242" s="40"/>
      <c r="AM242" s="40"/>
      <c r="AN242" s="40"/>
      <c r="AO242" s="40"/>
    </row>
    <row r="243" spans="37:41" x14ac:dyDescent="0.15">
      <c r="AK243" s="40"/>
      <c r="AL243" s="40"/>
      <c r="AM243" s="40"/>
      <c r="AN243" s="40"/>
      <c r="AO243" s="40"/>
    </row>
    <row r="244" spans="37:41" x14ac:dyDescent="0.15">
      <c r="AK244" s="40"/>
      <c r="AL244" s="40"/>
      <c r="AM244" s="40"/>
      <c r="AN244" s="40"/>
      <c r="AO244" s="40"/>
    </row>
    <row r="245" spans="37:41" x14ac:dyDescent="0.15">
      <c r="AK245" s="40"/>
      <c r="AL245" s="40"/>
      <c r="AM245" s="40"/>
      <c r="AN245" s="40"/>
      <c r="AO245" s="40"/>
    </row>
    <row r="246" spans="37:41" x14ac:dyDescent="0.15">
      <c r="AK246" s="40"/>
      <c r="AL246" s="40"/>
      <c r="AM246" s="40"/>
      <c r="AN246" s="40"/>
      <c r="AO246" s="40"/>
    </row>
    <row r="247" spans="37:41" x14ac:dyDescent="0.15">
      <c r="AK247" s="40"/>
      <c r="AL247" s="40"/>
      <c r="AM247" s="40"/>
      <c r="AN247" s="40"/>
      <c r="AO247" s="40"/>
    </row>
    <row r="248" spans="37:41" x14ac:dyDescent="0.15">
      <c r="AK248" s="40"/>
      <c r="AL248" s="40"/>
      <c r="AM248" s="40"/>
      <c r="AN248" s="40"/>
      <c r="AO248" s="40"/>
    </row>
    <row r="249" spans="37:41" x14ac:dyDescent="0.15">
      <c r="AK249" s="40"/>
      <c r="AL249" s="40"/>
      <c r="AM249" s="40"/>
      <c r="AN249" s="40"/>
      <c r="AO249" s="40"/>
    </row>
    <row r="250" spans="37:41" x14ac:dyDescent="0.15">
      <c r="AK250" s="40"/>
      <c r="AL250" s="40"/>
      <c r="AM250" s="40"/>
      <c r="AN250" s="40"/>
      <c r="AO250" s="40"/>
    </row>
    <row r="251" spans="37:41" x14ac:dyDescent="0.15">
      <c r="AK251" s="40"/>
      <c r="AL251" s="40"/>
      <c r="AM251" s="40"/>
      <c r="AN251" s="40"/>
      <c r="AO251" s="40"/>
    </row>
    <row r="252" spans="37:41" x14ac:dyDescent="0.15">
      <c r="AK252" s="40"/>
      <c r="AL252" s="40"/>
      <c r="AM252" s="40"/>
      <c r="AN252" s="40"/>
      <c r="AO252" s="40"/>
    </row>
    <row r="253" spans="37:41" x14ac:dyDescent="0.15">
      <c r="AK253" s="40"/>
      <c r="AL253" s="40"/>
      <c r="AM253" s="40"/>
      <c r="AN253" s="40"/>
      <c r="AO253" s="40"/>
    </row>
    <row r="254" spans="37:41" x14ac:dyDescent="0.15">
      <c r="AK254" s="40"/>
      <c r="AL254" s="40"/>
      <c r="AM254" s="40"/>
      <c r="AN254" s="40"/>
      <c r="AO254" s="40"/>
    </row>
    <row r="255" spans="37:41" x14ac:dyDescent="0.15">
      <c r="AK255" s="40"/>
      <c r="AL255" s="40"/>
      <c r="AM255" s="40"/>
      <c r="AN255" s="40"/>
      <c r="AO255" s="40"/>
    </row>
    <row r="256" spans="37:41" x14ac:dyDescent="0.15">
      <c r="AK256" s="40"/>
      <c r="AL256" s="40"/>
      <c r="AM256" s="40"/>
      <c r="AN256" s="40"/>
      <c r="AO256" s="40"/>
    </row>
    <row r="257" spans="37:41" x14ac:dyDescent="0.15">
      <c r="AK257" s="40"/>
      <c r="AL257" s="40"/>
      <c r="AM257" s="40"/>
      <c r="AN257" s="40"/>
      <c r="AO257" s="40"/>
    </row>
    <row r="258" spans="37:41" x14ac:dyDescent="0.15">
      <c r="AK258" s="40"/>
      <c r="AL258" s="40"/>
      <c r="AM258" s="40"/>
      <c r="AN258" s="40"/>
      <c r="AO258" s="40"/>
    </row>
    <row r="259" spans="37:41" x14ac:dyDescent="0.15">
      <c r="AK259" s="40"/>
      <c r="AL259" s="40"/>
      <c r="AM259" s="40"/>
      <c r="AN259" s="40"/>
      <c r="AO259" s="40"/>
    </row>
    <row r="260" spans="37:41" x14ac:dyDescent="0.15">
      <c r="AK260" s="40"/>
      <c r="AL260" s="40"/>
      <c r="AM260" s="40"/>
      <c r="AN260" s="40"/>
      <c r="AO260" s="40"/>
    </row>
    <row r="261" spans="37:41" x14ac:dyDescent="0.15">
      <c r="AK261" s="40"/>
      <c r="AL261" s="40"/>
      <c r="AM261" s="40"/>
      <c r="AN261" s="40"/>
      <c r="AO261" s="40"/>
    </row>
    <row r="262" spans="37:41" x14ac:dyDescent="0.15">
      <c r="AK262" s="40"/>
      <c r="AL262" s="40"/>
      <c r="AM262" s="40"/>
      <c r="AN262" s="40"/>
      <c r="AO262" s="40"/>
    </row>
    <row r="263" spans="37:41" x14ac:dyDescent="0.15">
      <c r="AK263" s="40"/>
      <c r="AL263" s="40"/>
      <c r="AM263" s="40"/>
      <c r="AN263" s="40"/>
      <c r="AO263" s="40"/>
    </row>
    <row r="264" spans="37:41" x14ac:dyDescent="0.15">
      <c r="AK264" s="40"/>
      <c r="AL264" s="40"/>
      <c r="AM264" s="40"/>
      <c r="AN264" s="40"/>
      <c r="AO264" s="40"/>
    </row>
    <row r="265" spans="37:41" x14ac:dyDescent="0.15">
      <c r="AK265" s="40"/>
      <c r="AL265" s="40"/>
      <c r="AM265" s="40"/>
      <c r="AN265" s="40"/>
      <c r="AO265" s="40"/>
    </row>
    <row r="266" spans="37:41" x14ac:dyDescent="0.15">
      <c r="AK266" s="40"/>
      <c r="AL266" s="40"/>
      <c r="AM266" s="40"/>
      <c r="AN266" s="40"/>
      <c r="AO266" s="40"/>
    </row>
    <row r="267" spans="37:41" x14ac:dyDescent="0.15">
      <c r="AK267" s="40"/>
      <c r="AL267" s="40"/>
      <c r="AM267" s="40"/>
      <c r="AN267" s="40"/>
      <c r="AO267" s="40"/>
    </row>
    <row r="268" spans="37:41" x14ac:dyDescent="0.15">
      <c r="AK268" s="40"/>
      <c r="AL268" s="40"/>
      <c r="AM268" s="40"/>
      <c r="AN268" s="40"/>
      <c r="AO268" s="40"/>
    </row>
  </sheetData>
  <sheetProtection password="CEE3" sheet="1" objects="1" scenarios="1"/>
  <mergeCells count="68">
    <mergeCell ref="AL206:AL208"/>
    <mergeCell ref="AL209:AL211"/>
    <mergeCell ref="AL182:AL184"/>
    <mergeCell ref="AL185:AL187"/>
    <mergeCell ref="AL191:AL193"/>
    <mergeCell ref="AK137:AK139"/>
    <mergeCell ref="AL227:AL229"/>
    <mergeCell ref="AL230:AL232"/>
    <mergeCell ref="AL233:AL235"/>
    <mergeCell ref="AL215:AL217"/>
    <mergeCell ref="AL218:AL220"/>
    <mergeCell ref="AL149:AL151"/>
    <mergeCell ref="AL155:AL157"/>
    <mergeCell ref="AL158:AL160"/>
    <mergeCell ref="AL221:AL223"/>
    <mergeCell ref="AL161:AL163"/>
    <mergeCell ref="AL167:AL169"/>
    <mergeCell ref="AL170:AL172"/>
    <mergeCell ref="AL173:AL175"/>
    <mergeCell ref="AL179:AL181"/>
    <mergeCell ref="AL203:AL205"/>
    <mergeCell ref="AK131:AK133"/>
    <mergeCell ref="AK134:AK136"/>
    <mergeCell ref="AK110:AK112"/>
    <mergeCell ref="AK113:AK115"/>
    <mergeCell ref="AK116:AK118"/>
    <mergeCell ref="AK122:AK124"/>
    <mergeCell ref="AK125:AK127"/>
    <mergeCell ref="AK128:AK130"/>
    <mergeCell ref="AL128:AL130"/>
    <mergeCell ref="AL122:AL124"/>
    <mergeCell ref="AL125:AL127"/>
    <mergeCell ref="AL194:AL196"/>
    <mergeCell ref="AL197:AL199"/>
    <mergeCell ref="AL131:AL133"/>
    <mergeCell ref="AL134:AL136"/>
    <mergeCell ref="AL137:AL139"/>
    <mergeCell ref="AK81:AM81"/>
    <mergeCell ref="AK84:AM84"/>
    <mergeCell ref="AK85:AM85"/>
    <mergeCell ref="AK82:AM82"/>
    <mergeCell ref="AL119:AL121"/>
    <mergeCell ref="AK86:AM86"/>
    <mergeCell ref="AK83:AM83"/>
    <mergeCell ref="AL107:AL109"/>
    <mergeCell ref="AL110:AL112"/>
    <mergeCell ref="AL113:AL115"/>
    <mergeCell ref="AK107:AK109"/>
    <mergeCell ref="AK119:AK121"/>
    <mergeCell ref="AL116:AL118"/>
    <mergeCell ref="AB8:AB9"/>
    <mergeCell ref="F1:M1"/>
    <mergeCell ref="F51:H51"/>
    <mergeCell ref="F53:H53"/>
    <mergeCell ref="O3:Q3"/>
    <mergeCell ref="I3:L3"/>
    <mergeCell ref="X3:Z3"/>
    <mergeCell ref="F3:H3"/>
    <mergeCell ref="T3:U3"/>
    <mergeCell ref="X66:Z66"/>
    <mergeCell ref="AB71:AB72"/>
    <mergeCell ref="F114:H114"/>
    <mergeCell ref="F116:H116"/>
    <mergeCell ref="F64:M64"/>
    <mergeCell ref="F66:H66"/>
    <mergeCell ref="I66:L66"/>
    <mergeCell ref="O66:Q66"/>
    <mergeCell ref="T66:U66"/>
  </mergeCells>
  <phoneticPr fontId="4"/>
  <dataValidations count="3">
    <dataValidation type="list" allowBlank="1" showInputMessage="1" sqref="U40:U41 U37:U38 U34:U35 U31:U32 U28:U29 U25:U26 U22:U23 U19:U20 U16:U17 U10:U11 U13:U14">
      <formula1>$AK$92:$AK$103</formula1>
    </dataValidation>
    <dataValidation type="list" allowBlank="1" showInputMessage="1" sqref="I10 I40 I37 I34 I31 I28 I25 I22 I19 I16 I13">
      <formula1>$AN$81:$AN$89</formula1>
    </dataValidation>
    <dataValidation type="list" allowBlank="1" showInputMessage="1" sqref="U12 U15 U18 U21 U24 U27 U30 U33 U36 U39 U42">
      <formula1>$AL$92:$AL$99</formula1>
    </dataValidation>
  </dataValidations>
  <printOptions horizontalCentered="1" verticalCentered="1"/>
  <pageMargins left="0.39370078740157483" right="0.39370078740157483" top="0.59055118110236227" bottom="0.39370078740157483" header="0.11811023622047245" footer="0.11811023622047245"/>
  <pageSetup paperSize="9" scale="71" orientation="landscape" verticalDpi="400" r:id="rId1"/>
  <headerFooter alignWithMargins="0">
    <oddHeader>&amp;RＴＭ２１５９６&amp;G　　(6/8)</oddHeader>
    <oddFooter>&amp;R&amp;"ＭＳ Ｐゴシック,太字"&amp;12&amp;G</oddFooter>
  </headerFooter>
  <ignoredErrors>
    <ignoredError sqref="H11 H14 H17 H20 H23 H26 H29 H32 H35 H38 H41" unlockedFormula="1"/>
  </ignoredErrors>
  <drawing r:id="rId2"/>
  <legacyDrawing r:id="rId3"/>
  <legacyDrawingHF r:id="rId4"/>
  <oleObjects>
    <mc:AlternateContent xmlns:mc="http://schemas.openxmlformats.org/markup-compatibility/2006">
      <mc:Choice Requires="x14">
        <oleObject progId="ANDES.Document.3" shapeId="2072" r:id="rId5">
          <objectPr defaultSize="0" autoPict="0" r:id="rId6">
            <anchor moveWithCells="1" sizeWithCells="1">
              <from>
                <xdr:col>8</xdr:col>
                <xdr:colOff>76200</xdr:colOff>
                <xdr:row>85</xdr:row>
                <xdr:rowOff>57150</xdr:rowOff>
              </from>
              <to>
                <xdr:col>27</xdr:col>
                <xdr:colOff>219075</xdr:colOff>
                <xdr:row>102</xdr:row>
                <xdr:rowOff>76200</xdr:rowOff>
              </to>
            </anchor>
          </objectPr>
        </oleObject>
      </mc:Choice>
      <mc:Fallback>
        <oleObject progId="ANDES.Document.3" shapeId="2072"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9900"/>
    <pageSetUpPr fitToPage="1"/>
  </sheetPr>
  <dimension ref="F1:BT241"/>
  <sheetViews>
    <sheetView showZeros="0" view="pageBreakPreview" zoomScaleNormal="100" zoomScaleSheetLayoutView="100" workbookViewId="0">
      <selection activeCell="H6" sqref="H6"/>
    </sheetView>
  </sheetViews>
  <sheetFormatPr defaultRowHeight="14.25" x14ac:dyDescent="0.15"/>
  <cols>
    <col min="1" max="5" width="9" style="50"/>
    <col min="6" max="6" width="3.625" style="50" customWidth="1"/>
    <col min="7" max="7" width="1.375" style="50" customWidth="1"/>
    <col min="8" max="8" width="8.625" style="50" customWidth="1"/>
    <col min="9" max="9" width="6.875" style="50" customWidth="1"/>
    <col min="10" max="10" width="1" style="50" customWidth="1"/>
    <col min="11" max="11" width="9.75" style="50" customWidth="1"/>
    <col min="12" max="12" width="17.5" style="50" customWidth="1"/>
    <col min="13" max="13" width="7.75" style="50" customWidth="1"/>
    <col min="14" max="14" width="10.5" style="50" customWidth="1"/>
    <col min="15" max="15" width="8.625" style="50" customWidth="1"/>
    <col min="16" max="16" width="6.625" style="50" customWidth="1"/>
    <col min="17" max="17" width="8.625" style="50" customWidth="1"/>
    <col min="18" max="18" width="10.625" style="50" customWidth="1"/>
    <col min="19" max="19" width="8.625" style="50" customWidth="1"/>
    <col min="20" max="20" width="10.625" style="50" customWidth="1"/>
    <col min="21" max="21" width="14.625" style="50" customWidth="1"/>
    <col min="22" max="22" width="6.625" style="50" customWidth="1"/>
    <col min="23" max="23" width="8.625" style="50" customWidth="1"/>
    <col min="24" max="24" width="10.625" style="50" customWidth="1"/>
    <col min="25" max="25" width="8.625" style="50" customWidth="1"/>
    <col min="26" max="26" width="10.625" style="50" customWidth="1"/>
    <col min="27" max="27" width="1.5" style="50" customWidth="1"/>
    <col min="28" max="28" width="13.625" style="50" customWidth="1"/>
    <col min="29" max="36" width="9" style="50" customWidth="1"/>
    <col min="37" max="37" width="15" style="50" customWidth="1"/>
    <col min="38" max="39" width="9" style="50" customWidth="1"/>
    <col min="40" max="40" width="9.625" style="50" customWidth="1"/>
    <col min="41" max="42" width="9" style="50" customWidth="1"/>
    <col min="43" max="43" width="9.25" style="50" customWidth="1"/>
    <col min="44" max="44" width="9.5" style="50" customWidth="1"/>
    <col min="45" max="45" width="9.25" style="50" customWidth="1"/>
    <col min="46" max="50" width="9" style="50" customWidth="1"/>
    <col min="51" max="53" width="9.25" style="50" customWidth="1"/>
    <col min="54" max="54" width="9.25" style="3" customWidth="1"/>
    <col min="55" max="68" width="9.25" style="50" customWidth="1"/>
    <col min="69" max="69" width="13.625" style="50" customWidth="1"/>
    <col min="70" max="16384" width="9" style="50"/>
  </cols>
  <sheetData>
    <row r="1" spans="6:72" ht="25.5" customHeight="1" x14ac:dyDescent="0.15">
      <c r="F1" s="436" t="s">
        <v>220</v>
      </c>
      <c r="G1" s="437"/>
      <c r="H1" s="437"/>
      <c r="I1" s="437"/>
      <c r="J1" s="437"/>
      <c r="K1" s="437"/>
      <c r="L1" s="437"/>
      <c r="M1" s="438"/>
      <c r="N1" s="1"/>
    </row>
    <row r="2" spans="6:72" ht="12.75" customHeight="1" x14ac:dyDescent="0.15"/>
    <row r="3" spans="6:72" ht="20.100000000000001" customHeight="1" x14ac:dyDescent="0.15">
      <c r="F3" s="409" t="s">
        <v>0</v>
      </c>
      <c r="G3" s="415"/>
      <c r="H3" s="416"/>
      <c r="I3" s="417">
        <f>◆入力◆④「1個放水」計算!I3</f>
        <v>0</v>
      </c>
      <c r="J3" s="418"/>
      <c r="K3" s="418"/>
      <c r="L3" s="419"/>
      <c r="M3" s="40"/>
      <c r="N3" s="361" t="s">
        <v>1</v>
      </c>
      <c r="O3" s="420" t="s">
        <v>241</v>
      </c>
      <c r="P3" s="421"/>
      <c r="Q3" s="422"/>
      <c r="R3" s="363"/>
      <c r="S3" s="361" t="s">
        <v>2</v>
      </c>
      <c r="T3" s="410">
        <f ca="1">TODAY()</f>
        <v>42326</v>
      </c>
      <c r="U3" s="427"/>
      <c r="V3" s="40"/>
      <c r="W3" s="361" t="s">
        <v>44</v>
      </c>
      <c r="X3" s="428" t="str">
        <f>◆入力◆④「1個放水」計算!X3</f>
        <v/>
      </c>
      <c r="Y3" s="429"/>
      <c r="Z3" s="430"/>
      <c r="AA3" s="54"/>
      <c r="AB3" s="54"/>
      <c r="AC3" s="54"/>
      <c r="AD3" s="40"/>
      <c r="AE3" s="40"/>
      <c r="AF3" s="40"/>
      <c r="AG3" s="40"/>
      <c r="AH3" s="40"/>
      <c r="AI3" s="40"/>
      <c r="AJ3" s="40"/>
      <c r="AK3" s="55" t="s">
        <v>52</v>
      </c>
      <c r="AL3" s="55"/>
      <c r="AM3" s="55"/>
      <c r="AN3" s="55"/>
      <c r="AO3" s="56" t="s">
        <v>51</v>
      </c>
      <c r="AP3" s="40"/>
      <c r="AQ3" s="40"/>
      <c r="AR3" s="40"/>
      <c r="AS3" s="40"/>
      <c r="AT3" s="40"/>
      <c r="AU3" s="40"/>
      <c r="AW3" s="55"/>
      <c r="AX3" s="55"/>
      <c r="AY3" s="40"/>
      <c r="BA3" s="40"/>
      <c r="BB3" s="180"/>
      <c r="BC3" s="40"/>
      <c r="BD3" s="40"/>
      <c r="BE3" s="40"/>
      <c r="BF3" s="40"/>
      <c r="BG3" s="40"/>
      <c r="BK3" s="40"/>
      <c r="BL3" s="40"/>
      <c r="BM3" s="40"/>
      <c r="BN3" s="40"/>
      <c r="BO3" s="40"/>
      <c r="BP3" s="40"/>
      <c r="BQ3" s="40"/>
      <c r="BR3" s="40"/>
      <c r="BS3" s="40"/>
      <c r="BT3" s="40"/>
    </row>
    <row r="4" spans="6:72" ht="12" customHeight="1" x14ac:dyDescent="0.15">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57" t="s">
        <v>75</v>
      </c>
      <c r="AL4" s="58">
        <v>15</v>
      </c>
      <c r="AM4" s="58">
        <v>20</v>
      </c>
      <c r="AN4" s="58">
        <v>25</v>
      </c>
      <c r="AO4" s="58">
        <v>32</v>
      </c>
      <c r="AP4" s="58">
        <v>40</v>
      </c>
      <c r="AQ4" s="58">
        <v>50</v>
      </c>
      <c r="AR4" s="58">
        <v>65</v>
      </c>
      <c r="AS4" s="58">
        <v>80</v>
      </c>
      <c r="AT4" s="58">
        <v>100</v>
      </c>
      <c r="AU4" s="58">
        <v>125</v>
      </c>
      <c r="AV4" s="58">
        <v>150</v>
      </c>
      <c r="AW4" s="58">
        <v>200</v>
      </c>
      <c r="AX4" s="58">
        <v>250</v>
      </c>
      <c r="AY4" s="40"/>
      <c r="AZ4" s="40"/>
      <c r="BA4" s="40"/>
      <c r="BB4" s="180"/>
      <c r="BC4" s="40"/>
      <c r="BD4" s="40"/>
      <c r="BE4" s="40"/>
      <c r="BF4" s="40"/>
      <c r="BG4" s="40"/>
      <c r="BK4" s="40"/>
      <c r="BL4" s="40"/>
      <c r="BM4" s="40"/>
      <c r="BN4" s="40"/>
      <c r="BO4" s="40"/>
      <c r="BP4" s="40"/>
      <c r="BQ4" s="40"/>
      <c r="BR4" s="40"/>
      <c r="BS4" s="40"/>
      <c r="BT4" s="40"/>
    </row>
    <row r="5" spans="6:72" ht="20.100000000000001" customHeight="1" x14ac:dyDescent="0.15">
      <c r="F5" s="409" t="s">
        <v>3</v>
      </c>
      <c r="G5" s="415"/>
      <c r="H5" s="416"/>
      <c r="I5" s="167"/>
      <c r="J5" s="60"/>
      <c r="K5" s="61" t="s">
        <v>37</v>
      </c>
      <c r="L5" s="131" t="str">
        <f>◆入力◆④「1個放水」計算!L5</f>
        <v>水道用硬質ポリ塩化ビニル管</v>
      </c>
      <c r="M5" s="40"/>
      <c r="N5" s="40"/>
      <c r="O5" s="40"/>
      <c r="P5" s="40"/>
      <c r="Q5" s="40"/>
      <c r="R5" s="40"/>
      <c r="S5" s="40"/>
      <c r="T5" s="40"/>
      <c r="U5" s="40"/>
      <c r="V5" s="40"/>
      <c r="W5" s="40"/>
      <c r="X5" s="40"/>
      <c r="Y5" s="40"/>
      <c r="Z5" s="88"/>
      <c r="AA5" s="40"/>
      <c r="AB5" s="40"/>
      <c r="AC5" s="40"/>
      <c r="AD5" s="62"/>
      <c r="AE5" s="40"/>
      <c r="AF5" s="40"/>
      <c r="AG5" s="40"/>
      <c r="AH5" s="40"/>
      <c r="AI5" s="40"/>
      <c r="AJ5" s="40"/>
      <c r="AK5" s="57" t="s">
        <v>76</v>
      </c>
      <c r="AL5" s="63">
        <v>1.31</v>
      </c>
      <c r="AM5" s="63">
        <v>1.86</v>
      </c>
      <c r="AN5" s="63">
        <v>2.46</v>
      </c>
      <c r="AO5" s="63">
        <v>3.27</v>
      </c>
      <c r="AP5" s="63">
        <v>3.86</v>
      </c>
      <c r="AQ5" s="63">
        <v>4.99</v>
      </c>
      <c r="AR5" s="63">
        <v>6.49</v>
      </c>
      <c r="AS5" s="63">
        <v>7.67</v>
      </c>
      <c r="AT5" s="63">
        <v>10.130000000000001</v>
      </c>
      <c r="AU5" s="63">
        <v>12.68</v>
      </c>
      <c r="AV5" s="63">
        <v>15.02</v>
      </c>
      <c r="AW5" s="63">
        <v>19.97</v>
      </c>
      <c r="AX5" s="63">
        <v>24.82</v>
      </c>
      <c r="AY5" s="40"/>
      <c r="BB5" s="50"/>
    </row>
    <row r="6" spans="6:72" ht="14.25" customHeight="1" x14ac:dyDescent="0.15">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57" t="s">
        <v>4</v>
      </c>
      <c r="AL6" s="63">
        <v>3</v>
      </c>
      <c r="AM6" s="63">
        <v>3.1</v>
      </c>
      <c r="AN6" s="63">
        <v>3.2</v>
      </c>
      <c r="AO6" s="63">
        <v>3.6</v>
      </c>
      <c r="AP6" s="63">
        <v>3.3</v>
      </c>
      <c r="AQ6" s="63">
        <v>3.3</v>
      </c>
      <c r="AR6" s="63">
        <v>4.4000000000000004</v>
      </c>
      <c r="AS6" s="63">
        <v>4.5999999999999996</v>
      </c>
      <c r="AT6" s="63">
        <v>4.2</v>
      </c>
      <c r="AU6" s="63">
        <v>5.0999999999999996</v>
      </c>
      <c r="AV6" s="63">
        <v>6</v>
      </c>
      <c r="AW6" s="63">
        <v>6.5</v>
      </c>
      <c r="AX6" s="63">
        <v>8</v>
      </c>
      <c r="AY6" s="40"/>
      <c r="BB6" s="50"/>
    </row>
    <row r="7" spans="6:72" ht="15" thickBot="1" x14ac:dyDescent="0.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57" t="s">
        <v>38</v>
      </c>
      <c r="AL7" s="63">
        <v>1.2</v>
      </c>
      <c r="AM7" s="63">
        <v>1.6</v>
      </c>
      <c r="AN7" s="63">
        <v>1.2</v>
      </c>
      <c r="AO7" s="63">
        <v>1.4</v>
      </c>
      <c r="AP7" s="63">
        <v>0.9</v>
      </c>
      <c r="AQ7" s="63">
        <v>0.9</v>
      </c>
      <c r="AR7" s="63">
        <v>1.1000000000000001</v>
      </c>
      <c r="AS7" s="63">
        <v>1.3</v>
      </c>
      <c r="AT7" s="63">
        <v>1.2</v>
      </c>
      <c r="AU7" s="63">
        <v>1.5</v>
      </c>
      <c r="AV7" s="63">
        <v>1.8</v>
      </c>
      <c r="AW7" s="63">
        <v>4</v>
      </c>
      <c r="AX7" s="63">
        <v>5</v>
      </c>
      <c r="AY7" s="40"/>
      <c r="BB7" s="50"/>
    </row>
    <row r="8" spans="6:72" ht="20.100000000000001" customHeight="1" thickBot="1" x14ac:dyDescent="0.2">
      <c r="F8" s="234"/>
      <c r="G8" s="40"/>
      <c r="H8" s="64" t="s">
        <v>45</v>
      </c>
      <c r="I8" s="53"/>
      <c r="J8" s="40"/>
      <c r="K8" s="361" t="s">
        <v>7</v>
      </c>
      <c r="L8" s="65" t="s">
        <v>8</v>
      </c>
      <c r="M8" s="66" t="s">
        <v>9</v>
      </c>
      <c r="N8" s="66"/>
      <c r="O8" s="64" t="s">
        <v>10</v>
      </c>
      <c r="P8" s="66"/>
      <c r="Q8" s="66"/>
      <c r="R8" s="66"/>
      <c r="S8" s="66"/>
      <c r="T8" s="66"/>
      <c r="U8" s="64" t="s">
        <v>11</v>
      </c>
      <c r="V8" s="66"/>
      <c r="W8" s="66"/>
      <c r="X8" s="66"/>
      <c r="Y8" s="66"/>
      <c r="Z8" s="53"/>
      <c r="AA8" s="40"/>
      <c r="AB8" s="404" t="s">
        <v>55</v>
      </c>
      <c r="AC8" s="67"/>
      <c r="AD8" s="40"/>
      <c r="AE8" s="40"/>
      <c r="AF8" s="40"/>
      <c r="AG8" s="40"/>
      <c r="AH8" s="40"/>
      <c r="AI8" s="40"/>
      <c r="AJ8" s="40"/>
      <c r="AK8" s="57" t="s">
        <v>5</v>
      </c>
      <c r="AL8" s="63">
        <v>3.8</v>
      </c>
      <c r="AM8" s="63">
        <v>3.8</v>
      </c>
      <c r="AN8" s="63">
        <v>3.3</v>
      </c>
      <c r="AO8" s="63">
        <v>4</v>
      </c>
      <c r="AP8" s="63">
        <v>3.6</v>
      </c>
      <c r="AQ8" s="63">
        <v>3.5</v>
      </c>
      <c r="AR8" s="63">
        <v>4.4000000000000004</v>
      </c>
      <c r="AS8" s="63">
        <v>4.9000000000000004</v>
      </c>
      <c r="AT8" s="63">
        <v>6.3</v>
      </c>
      <c r="AU8" s="63">
        <v>7.5</v>
      </c>
      <c r="AV8" s="63">
        <v>9</v>
      </c>
      <c r="AW8" s="63">
        <v>14</v>
      </c>
      <c r="AX8" s="63">
        <v>20</v>
      </c>
      <c r="BB8" s="50"/>
    </row>
    <row r="9" spans="6:72" ht="20.100000000000001" customHeight="1" x14ac:dyDescent="0.15">
      <c r="F9" s="235"/>
      <c r="G9" s="40"/>
      <c r="H9" s="68" t="s">
        <v>46</v>
      </c>
      <c r="I9" s="361" t="s">
        <v>47</v>
      </c>
      <c r="J9" s="40"/>
      <c r="K9" s="361" t="s">
        <v>36</v>
      </c>
      <c r="L9" s="65" t="s">
        <v>12</v>
      </c>
      <c r="M9" s="360" t="s">
        <v>48</v>
      </c>
      <c r="N9" s="69" t="s">
        <v>13</v>
      </c>
      <c r="O9" s="360" t="s">
        <v>14</v>
      </c>
      <c r="P9" s="361" t="s">
        <v>15</v>
      </c>
      <c r="Q9" s="360" t="s">
        <v>16</v>
      </c>
      <c r="R9" s="361" t="s">
        <v>17</v>
      </c>
      <c r="S9" s="360" t="s">
        <v>18</v>
      </c>
      <c r="T9" s="69" t="s">
        <v>13</v>
      </c>
      <c r="U9" s="360" t="s">
        <v>19</v>
      </c>
      <c r="V9" s="361" t="s">
        <v>15</v>
      </c>
      <c r="W9" s="70" t="s">
        <v>16</v>
      </c>
      <c r="X9" s="361" t="s">
        <v>17</v>
      </c>
      <c r="Y9" s="360" t="s">
        <v>18</v>
      </c>
      <c r="Z9" s="69" t="s">
        <v>13</v>
      </c>
      <c r="AA9" s="363"/>
      <c r="AB9" s="405"/>
      <c r="AC9" s="71" t="s">
        <v>73</v>
      </c>
      <c r="AD9" s="72" t="s">
        <v>40</v>
      </c>
      <c r="AE9" s="72" t="s">
        <v>56</v>
      </c>
      <c r="AF9" s="72" t="s">
        <v>39</v>
      </c>
      <c r="AG9" s="72" t="s">
        <v>61</v>
      </c>
      <c r="AH9" s="72" t="s">
        <v>89</v>
      </c>
      <c r="AI9" s="72" t="s">
        <v>90</v>
      </c>
      <c r="AJ9" s="181"/>
      <c r="AK9" s="57" t="s">
        <v>6</v>
      </c>
      <c r="AL9" s="63">
        <v>3.5</v>
      </c>
      <c r="AM9" s="63">
        <v>2.2999999999999998</v>
      </c>
      <c r="AN9" s="63">
        <v>1.7</v>
      </c>
      <c r="AO9" s="63">
        <v>1.3</v>
      </c>
      <c r="AP9" s="63">
        <v>1.7</v>
      </c>
      <c r="AQ9" s="63">
        <v>1.9</v>
      </c>
      <c r="AR9" s="63">
        <v>0.48</v>
      </c>
      <c r="AS9" s="63">
        <v>0.63</v>
      </c>
      <c r="AT9" s="63">
        <v>0.81</v>
      </c>
      <c r="AU9" s="63">
        <v>0.99</v>
      </c>
      <c r="AV9" s="63">
        <v>1.2</v>
      </c>
      <c r="AW9" s="63">
        <v>1.4</v>
      </c>
      <c r="AX9" s="63">
        <v>1.7</v>
      </c>
      <c r="BB9" s="50"/>
    </row>
    <row r="10" spans="6:72" x14ac:dyDescent="0.15">
      <c r="F10" s="235" t="s">
        <v>21</v>
      </c>
      <c r="G10" s="40"/>
      <c r="H10" s="168"/>
      <c r="I10" s="189" t="str">
        <f>IF(H10="","",◆入力◆①配管容量!$M$3)</f>
        <v/>
      </c>
      <c r="J10" s="40"/>
      <c r="K10" s="73"/>
      <c r="L10" s="74"/>
      <c r="M10" s="75"/>
      <c r="N10" s="76"/>
      <c r="O10" s="77" t="str">
        <f>IF(I11="","","E９０°")</f>
        <v/>
      </c>
      <c r="P10" s="173"/>
      <c r="Q10" s="78">
        <f>IF(I11=0,0,IF(I10="SGP-VB",LOOKUP(I11,◆入力◆⑤「4個同時放水」計算!$AL$4:$AX$4,◆入力◆⑤「4個同時放水」計算!$AL$6:$AX$6),IF(I10="SGP-PB",LOOKUP(I11,◆入力◆⑤「4個同時放水」計算!$AL$15:$AX$15,◆入力◆⑤「4個同時放水」計算!$AL$17:$AX$17),IF(I10="HIVP",LOOKUP(I11,◆入力◆⑤「4個同時放水」計算!$AL$26:$AX$26,◆入力◆⑤「4個同時放水」計算!$AL$28:$AX$28),IF(OR(I10="SGP",I10="フレキ"),LOOKUP(I11,◆入力◆⑤「4個同時放水」計算!$AL$37:$AX$37,◆入力◆⑤「4個同時放水」計算!$AL$39:$AX$39),IF(I10="SUS",LOOKUP(I11,◆入力◆⑤「4個同時放水」計算!$AL$48:$AX$48,◆入力◆⑤「4個同時放水」計算!$AL$50:$AX$50),IF(OR(I10="PE",I10="PP"),LOOKUP(I11,◆入力◆⑤「4個同時放水」計算!$AL$59:$AX$59,◆入力◆⑤「4個同時放水」計算!$AL$61:$AX$61))))))))</f>
        <v>0</v>
      </c>
      <c r="R10" s="79">
        <f t="shared" ref="R10:R42" si="0">P10*Q10</f>
        <v>0</v>
      </c>
      <c r="S10" s="80"/>
      <c r="T10" s="81">
        <v>0</v>
      </c>
      <c r="U10" s="239"/>
      <c r="V10" s="174"/>
      <c r="W10" s="79">
        <f>IF($U10="Yスト",AC10,IF($I10="sgp-vb",AD10,IF($I10="sgp-pb",AE10,IF($I10="hivp",AF10,IF(OR($I10="sgp",$I10="フレキ"),AG10,IF($I10="sus",AH10,IF(OR($I10="PE",$I10="PP"),AI10,0)))))))</f>
        <v>0</v>
      </c>
      <c r="X10" s="82">
        <f t="shared" ref="X10:X42" si="1">V10*W10</f>
        <v>0</v>
      </c>
      <c r="Y10" s="83"/>
      <c r="Z10" s="84">
        <f>IF(AND($U10="電動弁",$V10=1),LOOKUP($K11,$AL$76:$BQ$76,$AL$77:$BQ$77),IF(AND($U10="逆流防止装置E",$V10=1),LOOKUP($I11,$AN$105:$AQ$105,$AN106:$AQ106),IF(AND($U10="逆流防止装置K",$V10=1),LOOKUP($I11,$AN$105:$AQ$105,$AN107:$AQ107),IF(AND($U10="逆流防止装置T",$V10=1),LOOKUP($I11,$AN$105:$AQ$105,$AN108:$AQ108),0))))</f>
        <v>0</v>
      </c>
      <c r="AA10" s="40"/>
      <c r="AB10" s="85"/>
      <c r="AC10" s="86">
        <f>IF(U10="Yスト",IF(I10="SGP-VB",LOOKUP(I11,◆入力◆⑤「4個同時放水」計算!$AL$4:$AX$4,◆入力◆⑤「4個同時放水」計算!$AL$11:$AX$11),IF(I10="SGP-PB",LOOKUP(I11,◆入力◆⑤「4個同時放水」計算!$AL$15:$AX$15,◆入力◆⑤「4個同時放水」計算!$AL$22:$AX$22),IF(I10="HIVP",LOOKUP(I11,◆入力◆⑤「4個同時放水」計算!$AL$26:$AX$26,◆入力◆⑤「4個同時放水」計算!$AL$33:$AX$33),IF(OR(I10="SGP",I10="フレキ"),LOOKUP(I11,◆入力◆⑤「4個同時放水」計算!$AL$37:$AX$37,◆入力◆⑤「4個同時放水」計算!$AL$44:$AX$44),IF(I10="SUS",LOOKUP(I11,◆入力◆⑤「4個同時放水」計算!$AL$48:$AX$48,◆入力◆⑤「4個同時放水」計算!$AL$55:$AX$55),IF(OR(I10="PE",I10="PP"),LOOKUP(I11,◆入力◆⑤「4個同時放水」計算!$AL$59:$AX$59,◆入力◆⑤「4個同時放水」計算!$AL$66:$AX$66))))))),0)</f>
        <v>0</v>
      </c>
      <c r="AD10" s="86">
        <f>IF($U10="仕切弁",LOOKUP($I11,◆入力◆⑤「4個同時放水」計算!$AL$4:$AX$4,◆入力◆⑤「4個同時放水」計算!$AL$9:$AX$9),IF($U10="逆止弁",LOOKUP($I11,◆入力◆⑤「4個同時放水」計算!$AL$4:$AX$4,◆入力◆⑤「4個同時放水」計算!$AL$10:$AX$10),IF($U10="水道メーター",LOOKUP($I11,◆入力◆⑤「4個同時放水」計算!$AL$69:$AQ$69,◆入力◆⑤「4個同時放水」計算!$AL$70:$AQ$70),IF($U10="止水栓",LOOKUP($I11,◆入力◆⑤「4個同時放水」計算!$AL$69:$AQ$69,◆入力◆⑤「4個同時放水」計算!$AL$71:$AQ$71),IF($U10="分水栓",LOOKUP($I11,◆入力◆⑤「4個同時放水」計算!$AL$69:$AQ$69,◆入力◆⑤「4個同時放水」計算!$AL$72:$AQ$72),IF($U10="巻き出しフレキ",LOOKUP($I11,◆入力◆⑤「4個同時放水」計算!$AL$69:$AQ$69,◆入力◆⑤「4個同時放水」計算!$AL$73:$AQ$73),IF($U10="",0,0)))))))</f>
        <v>0</v>
      </c>
      <c r="AE10" s="86">
        <f>IF($U10="仕切弁",LOOKUP($I11,◆入力◆⑤「4個同時放水」計算!$AL$15:$AX$15,◆入力◆⑤「4個同時放水」計算!$AL$20:$AX$20),IF($U10="逆止弁",LOOKUP($I11,◆入力◆⑤「4個同時放水」計算!$AL$15:$AX$15,◆入力◆⑤「4個同時放水」計算!$AL$21:$AX$21),IF($U10="水道メーター",LOOKUP($I11,◆入力◆⑤「4個同時放水」計算!$AL$69:$AQ$69,◆入力◆⑤「4個同時放水」計算!$AL$70:$AQ$70),IF($U10="止水栓",LOOKUP($I11,◆入力◆⑤「4個同時放水」計算!$AL$69:$AQ$69,◆入力◆⑤「4個同時放水」計算!$AL$71:$AQ$71),IF($U10="分水栓",LOOKUP($I11,◆入力◆⑤「4個同時放水」計算!$AL$69:$AQ$69,◆入力◆⑤「4個同時放水」計算!$AL$72:$AQ$72),IF($U10="巻き出しフレキ",LOOKUP($I11,◆入力◆⑤「4個同時放水」計算!$AL$69:$AQ$69,◆入力◆⑤「4個同時放水」計算!$AL$73:$AQ$73),IF($U10="",0,0)))))))</f>
        <v>0</v>
      </c>
      <c r="AF10" s="86">
        <f>IF($U10="仕切弁",LOOKUP($I11,◆入力◆⑤「4個同時放水」計算!$AL$26:$AX$26,◆入力◆⑤「4個同時放水」計算!$AL$31:$AX$31),IF($U10="逆止弁",LOOKUP($I11,◆入力◆⑤「4個同時放水」計算!$AL$26:$AX$26,◆入力◆⑤「4個同時放水」計算!$AL$32:$AX$32),IF($U10="水道メーター",LOOKUP($I11,◆入力◆⑤「4個同時放水」計算!$AL$69:$AQ$69,◆入力◆⑤「4個同時放水」計算!$AL$70:$AQ$70),IF($U10="止水栓",LOOKUP($I11,◆入力◆⑤「4個同時放水」計算!$AL$69:$AQ$69,◆入力◆⑤「4個同時放水」計算!$AL$71:$AQ$71),IF($U10="分水栓",LOOKUP($I11,◆入力◆⑤「4個同時放水」計算!$AL$69:$AQ$69,◆入力◆⑤「4個同時放水」計算!$AL$72:$AQ$72),IF($U10="巻き出しフレキ",LOOKUP($I11,◆入力◆⑤「4個同時放水」計算!$AL$69:$AQ$69,◆入力◆⑤「4個同時放水」計算!$AL$73:$AQ$73),IF($U10="",0,0)))))))</f>
        <v>0</v>
      </c>
      <c r="AG10" s="86">
        <f>IF($U10="仕切弁",LOOKUP($I11,◆入力◆⑤「4個同時放水」計算!$AL$37:$AX$37,◆入力◆⑤「4個同時放水」計算!$AL$42:$AX$42),IF($U10="逆止弁",LOOKUP($I11,◆入力◆⑤「4個同時放水」計算!$AL$37:$AX$37,◆入力◆⑤「4個同時放水」計算!$AL$43:$AX$43),IF($U10="水道メーター",LOOKUP($I11,◆入力◆⑤「4個同時放水」計算!$AL$69:$AQ$69,◆入力◆⑤「4個同時放水」計算!$AL$70:$AQ$70),IF($U10="止水栓",LOOKUP($I11,◆入力◆⑤「4個同時放水」計算!$AL$69:$AQ$69,◆入力◆⑤「4個同時放水」計算!$AL$71:$AQ$71),IF($U10="分水栓",LOOKUP($I11,◆入力◆⑤「4個同時放水」計算!$AL$69:$AQ$69,◆入力◆⑤「4個同時放水」計算!$AL$72:$AQ$72),IF($U10="巻き出しフレキ",LOOKUP($I11,◆入力◆⑤「4個同時放水」計算!$AL$69:$AQ$69,◆入力◆⑤「4個同時放水」計算!$AL$73:$AQ$73),IF($U10="",0,0)))))))</f>
        <v>0</v>
      </c>
      <c r="AH10" s="86">
        <f>IF($U10="仕切弁",LOOKUP($I11,◆入力◆⑤「4個同時放水」計算!$AL$48:$AX$48,◆入力◆⑤「4個同時放水」計算!$AL$53:$AX$53),IF($U10="逆止弁",LOOKUP($I11,◆入力◆⑤「4個同時放水」計算!$AL$48:$AX$48,◆入力◆⑤「4個同時放水」計算!$AL$54:$AX$54),IF($U10="水道メーター",LOOKUP($I11,◆入力◆⑤「4個同時放水」計算!$AL$69:$AQ$69,◆入力◆⑤「4個同時放水」計算!$AL$70:$AQ$70),IF($U10="止水栓",LOOKUP($I11,◆入力◆⑤「4個同時放水」計算!$AL$69:$AQ$69,◆入力◆⑤「4個同時放水」計算!$AL$71:$AQ$71),IF($U10="分水栓",LOOKUP($I11,◆入力◆⑤「4個同時放水」計算!$AL$69:$AQ$69,◆入力◆⑤「4個同時放水」計算!$AL$72:$AQ$72),IF($U10="巻き出しフレキ",LOOKUP($I11,◆入力◆⑤「4個同時放水」計算!$AL$69:$AQ$69,◆入力◆⑤「4個同時放水」計算!$AL$73:$AQ$73),IF($U10="",0,0)))))))</f>
        <v>0</v>
      </c>
      <c r="AI10" s="86">
        <f>IF($U10="仕切弁",LOOKUP($I11,◆入力◆⑤「4個同時放水」計算!$AL$59:$AX$59,◆入力◆⑤「4個同時放水」計算!$AL$64:$AX$64),IF($U10="逆止弁",LOOKUP($I11,◆入力◆⑤「4個同時放水」計算!$AL$59:$AX$59,◆入力◆⑤「4個同時放水」計算!$AL$65:$AX$65),IF($U10="水道メーター",LOOKUP($I11,◆入力◆⑤「4個同時放水」計算!$AL$69:$AQ$69,◆入力◆⑤「4個同時放水」計算!$AL$70:$AQ$70),IF($U10="止水栓",LOOKUP($I11,◆入力◆⑤「4個同時放水」計算!$AL$69:$AQ$69,◆入力◆⑤「4個同時放水」計算!$AL$71:$AQ$71),IF($U10="分水栓",LOOKUP($I11,◆入力◆⑤「4個同時放水」計算!$AL$69:$AQ$69,◆入力◆⑤「4個同時放水」計算!$AL$72:$AQ$72),IF($U10="巻き出しフレキ",LOOKUP($I11,◆入力◆⑤「4個同時放水」計算!$AL$69:$AQ$69,◆入力◆⑤「4個同時放水」計算!$AL$73:$AQ$73),IF($U10="",0,0)))))))</f>
        <v>0</v>
      </c>
      <c r="AJ10" s="182"/>
      <c r="AK10" s="57" t="s">
        <v>41</v>
      </c>
      <c r="AL10" s="63">
        <v>5.5</v>
      </c>
      <c r="AM10" s="63">
        <v>2.7</v>
      </c>
      <c r="AN10" s="63">
        <v>2.9</v>
      </c>
      <c r="AO10" s="63">
        <v>3.2</v>
      </c>
      <c r="AP10" s="63">
        <v>2.6</v>
      </c>
      <c r="AQ10" s="63">
        <v>3.7</v>
      </c>
      <c r="AR10" s="63">
        <v>4.5999999999999996</v>
      </c>
      <c r="AS10" s="63">
        <v>5.7</v>
      </c>
      <c r="AT10" s="63">
        <v>7.6</v>
      </c>
      <c r="AU10" s="63">
        <v>10</v>
      </c>
      <c r="AV10" s="63">
        <v>12</v>
      </c>
      <c r="AW10" s="63">
        <v>15</v>
      </c>
      <c r="AX10" s="63">
        <v>19</v>
      </c>
      <c r="BB10" s="50"/>
    </row>
    <row r="11" spans="6:72" ht="14.25" customHeight="1" x14ac:dyDescent="0.15">
      <c r="F11" s="235"/>
      <c r="G11" s="40"/>
      <c r="H11" s="186">
        <f>IF(H10=1,"①－②",0)</f>
        <v>0</v>
      </c>
      <c r="I11" s="170"/>
      <c r="J11" s="40"/>
      <c r="K11" s="141">
        <v>20</v>
      </c>
      <c r="L11" s="74">
        <f>IF(I11="",0,IF(I11&gt;=65,K11^1.85*0.012/I12^4.87,ROUNDUP((0.0126+(0.01739-(0.1087*I12/100))/SQRT(4*K11/(60000*PI()*(I12/100)^2)))*(1/(I12/100))*((4*K11/(60000*PI()*(I12/100)^2))^2/(2*9.8)),4)))</f>
        <v>0</v>
      </c>
      <c r="M11" s="172"/>
      <c r="N11" s="84">
        <f>ROUNDUP(L11*M11,2)</f>
        <v>0</v>
      </c>
      <c r="O11" s="87" t="str">
        <f>IF(I11="","","Ｔ直")</f>
        <v/>
      </c>
      <c r="P11" s="174"/>
      <c r="Q11" s="88">
        <f>IF(I11=0,0,IF(I10="SGP-VB",LOOKUP(I11,◆入力◆⑤「4個同時放水」計算!$AL$4:$AX$4,◆入力◆⑤「4個同時放水」計算!$AL$7:$AX$7),IF(I10="SGP-PB",LOOKUP(I11,◆入力◆⑤「4個同時放水」計算!$AL$15:$AX$15,◆入力◆⑤「4個同時放水」計算!$AL$18:$AX$18),IF(I10="HIVP",LOOKUP(I11,◆入力◆⑤「4個同時放水」計算!$AL$26:$AX$26,◆入力◆⑤「4個同時放水」計算!$AL$29:$AX$29),IF(OR(I10="SGP",I10="フレキ"),LOOKUP(I11,◆入力◆⑤「4個同時放水」計算!$AL$37:$AX$37,◆入力◆⑤「4個同時放水」計算!$AL$40:$AX$40),IF(I10="SUS",LOOKUP(I11,◆入力◆⑤「4個同時放水」計算!$AL$48:$AX$48,◆入力◆⑤「4個同時放水」計算!$AL$51:$AX$51),IF(OR(I10="PE",I10="PP"),LOOKUP(I11,◆入力◆⑤「4個同時放水」計算!$AL$59:$AX$59,◆入力◆⑤「4個同時放水」計算!$AL$62:$AX$62))))))))</f>
        <v>0</v>
      </c>
      <c r="R11" s="82">
        <f t="shared" si="0"/>
        <v>0</v>
      </c>
      <c r="S11" s="83">
        <f>R10+R11+R12</f>
        <v>0</v>
      </c>
      <c r="T11" s="84">
        <f>ROUNDUP(L11*S11,2)</f>
        <v>0</v>
      </c>
      <c r="U11" s="177"/>
      <c r="V11" s="174"/>
      <c r="W11" s="82">
        <f>IF($U11="Yスト",AC11,IF($I10="sgp-vb",AD11,IF($I10="sgp-pb",AE11,IF($I10="hivp",AF11,IF(OR($I10="sgp",$I10="フレキ"),AG11,IF($I10="sus",AH11,IF(OR($I10="PE",$I10="PP"),AI11,0)))))))</f>
        <v>0</v>
      </c>
      <c r="X11" s="82">
        <f t="shared" si="1"/>
        <v>0</v>
      </c>
      <c r="Y11" s="83">
        <f>SUM(X10:X12)</f>
        <v>0</v>
      </c>
      <c r="Z11" s="84">
        <f>IF(AND($U11="電動弁",$V11=1),LOOKUP($K11,$AL$76:$BQ$76,$AL$77:$BQ$77),IF(AND($U11="逆流防止装置E",$V11=1),LOOKUP($I11,$AN$105:$AQ$105,$AN106:$AQ106),IF(AND($U11="逆流防止装置K",$V11=1),LOOKUP($I11,$AN$105:$AQ$105,$AN107:$AQ107),IF(AND($U11="逆流防止装置T",$V11=1),LOOKUP($I11,$AN$105:$AQ$105,$AN108:$AQ108),0))))</f>
        <v>0</v>
      </c>
      <c r="AA11" s="40"/>
      <c r="AB11" s="84">
        <f>T10+N11+T11+Z10+Z11+Z12</f>
        <v>0</v>
      </c>
      <c r="AC11" s="89">
        <f>IF(U11="Yスト",IF(I10="SGP-VB",LOOKUP(I11,◆入力◆⑤「4個同時放水」計算!$AL$4:$AX$4,◆入力◆⑤「4個同時放水」計算!$AL$11:$AX$11),IF(I10="SGP-PB",LOOKUP(I11,◆入力◆⑤「4個同時放水」計算!$AL$15:$AX$15,◆入力◆⑤「4個同時放水」計算!$AL$22:$AX$22),IF(I10="HIVP",LOOKUP(I11,◆入力◆⑤「4個同時放水」計算!$AL$26:$AX$26,◆入力◆⑤「4個同時放水」計算!$AL$33:$AX$33),IF(OR(I10="SGP",I10="フレキ"),LOOKUP(I11,◆入力◆⑤「4個同時放水」計算!$AL$37:$AX$37,◆入力◆⑤「4個同時放水」計算!$AL$44:$AX$44),IF(I10="SUS",LOOKUP(I11,◆入力◆⑤「4個同時放水」計算!$AL$48:$AX$48,◆入力◆⑤「4個同時放水」計算!$AL$55:$AX$55),IF(OR(I10="PE",I10="PP"),LOOKUP(I11,◆入力◆⑤「4個同時放水」計算!$AL$59:$AX$59,◆入力◆⑤「4個同時放水」計算!$AL$66:$AX$66))))))),0)</f>
        <v>0</v>
      </c>
      <c r="AD11" s="90">
        <f>IF($U11="仕切弁",LOOKUP($I11,◆入力◆⑤「4個同時放水」計算!$AL$4:$AX$4,◆入力◆⑤「4個同時放水」計算!$AL$9:$AX$9),IF($U11="逆止弁",LOOKUP($I11,◆入力◆⑤「4個同時放水」計算!$AL$4:$AX$4,◆入力◆⑤「4個同時放水」計算!$AL$10:$AX$10),IF($U11="水道メーター",LOOKUP($I11,◆入力◆⑤「4個同時放水」計算!$AL$69:$AQ$69,◆入力◆⑤「4個同時放水」計算!$AL$70:$AQ$70),IF($U11="止水栓",LOOKUP($I11,◆入力◆⑤「4個同時放水」計算!$AL$69:$AQ$69,◆入力◆⑤「4個同時放水」計算!$AL$71:$AQ$71),IF($U11="分水栓",LOOKUP($I11,◆入力◆⑤「4個同時放水」計算!$AL$69:$AQ$69,◆入力◆⑤「4個同時放水」計算!$AL$72:$AQ$72),IF($U11="巻き出しフレキ",LOOKUP($I11,◆入力◆⑤「4個同時放水」計算!$AL$69:$AQ$69,◆入力◆⑤「4個同時放水」計算!$AL$73:$AQ$73),IF($U11="",0,0)))))))</f>
        <v>0</v>
      </c>
      <c r="AE11" s="90">
        <f>IF($U11="仕切弁",LOOKUP($I11,◆入力◆⑤「4個同時放水」計算!$AL$15:$AX$15,◆入力◆⑤「4個同時放水」計算!$AL$20:$AX$20),IF($U11="逆止弁",LOOKUP($I11,◆入力◆⑤「4個同時放水」計算!$AL$15:$AX$15,◆入力◆⑤「4個同時放水」計算!$AL$21:$AX$21),IF($U11="水道メーター",LOOKUP($I11,◆入力◆⑤「4個同時放水」計算!$AL$69:$AQ$69,◆入力◆⑤「4個同時放水」計算!$AL$70:$AQ$70),IF($U11="止水栓",LOOKUP($I11,◆入力◆⑤「4個同時放水」計算!$AL$69:$AQ$69,◆入力◆⑤「4個同時放水」計算!$AL$71:$AQ$71),IF($U11="分水栓",LOOKUP($I11,◆入力◆⑤「4個同時放水」計算!$AL$69:$AQ$69,◆入力◆⑤「4個同時放水」計算!$AL$72:$AQ$72),IF($U11="巻き出しフレキ",LOOKUP($I11,◆入力◆⑤「4個同時放水」計算!$AL$69:$AQ$69,◆入力◆⑤「4個同時放水」計算!$AL$73:$AQ$73),IF($U11="",0,0)))))))</f>
        <v>0</v>
      </c>
      <c r="AF11" s="90">
        <f>IF($U11="仕切弁",LOOKUP($I11,◆入力◆⑤「4個同時放水」計算!$AL$26:$AX$26,◆入力◆⑤「4個同時放水」計算!$AL$31:$AX$31),IF($U11="逆止弁",LOOKUP($I11,◆入力◆⑤「4個同時放水」計算!$AL$26:$AX$26,◆入力◆⑤「4個同時放水」計算!$AL$32:$AX$32),IF($U11="水道メーター",LOOKUP($I11,◆入力◆⑤「4個同時放水」計算!$AL$69:$AQ$69,◆入力◆⑤「4個同時放水」計算!$AL$70:$AQ$70),IF($U11="止水栓",LOOKUP($I11,◆入力◆⑤「4個同時放水」計算!$AL$69:$AQ$69,◆入力◆⑤「4個同時放水」計算!$AL$71:$AQ$71),IF($U11="分水栓",LOOKUP($I11,◆入力◆⑤「4個同時放水」計算!$AL$69:$AQ$69,◆入力◆⑤「4個同時放水」計算!$AL$72:$AQ$72),IF($U11="巻き出しフレキ",LOOKUP($I11,◆入力◆⑤「4個同時放水」計算!$AL$69:$AQ$69,◆入力◆⑤「4個同時放水」計算!$AL$73:$AQ$73),IF($U11="",0,0)))))))</f>
        <v>0</v>
      </c>
      <c r="AG11" s="90">
        <f>IF($U11="仕切弁",LOOKUP($I11,◆入力◆⑤「4個同時放水」計算!$AL$37:$AX$37,◆入力◆⑤「4個同時放水」計算!$AL$42:$AX$42),IF($U11="逆止弁",LOOKUP($I11,◆入力◆⑤「4個同時放水」計算!$AL$37:$AX$37,◆入力◆⑤「4個同時放水」計算!$AL$43:$AX$43),IF($U11="水道メーター",LOOKUP($I11,◆入力◆⑤「4個同時放水」計算!$AL$69:$AQ$69,◆入力◆⑤「4個同時放水」計算!$AL$70:$AQ$70),IF($U11="止水栓",LOOKUP($I11,◆入力◆⑤「4個同時放水」計算!$AL$69:$AQ$69,◆入力◆⑤「4個同時放水」計算!$AL$71:$AQ$71),IF($U11="分水栓",LOOKUP($I11,◆入力◆⑤「4個同時放水」計算!$AL$69:$AQ$69,◆入力◆⑤「4個同時放水」計算!$AL$72:$AQ$72),IF($U11="巻き出しフレキ",LOOKUP($I11,◆入力◆⑤「4個同時放水」計算!$AL$69:$AQ$69,◆入力◆⑤「4個同時放水」計算!$AL$73:$AQ$73),IF($U11="",0,0)))))))</f>
        <v>0</v>
      </c>
      <c r="AH11" s="90">
        <f>IF($U11="仕切弁",LOOKUP($I11,◆入力◆⑤「4個同時放水」計算!$AL$48:$AX$48,◆入力◆⑤「4個同時放水」計算!$AL$53:$AX$53),IF($U11="逆止弁",LOOKUP($I11,◆入力◆⑤「4個同時放水」計算!$AL$48:$AX$48,◆入力◆⑤「4個同時放水」計算!$AL$54:$AX$54),IF($U11="水道メーター",LOOKUP($I11,◆入力◆⑤「4個同時放水」計算!$AL$69:$AQ$69,◆入力◆⑤「4個同時放水」計算!$AL$70:$AQ$70),IF($U11="止水栓",LOOKUP($I11,◆入力◆⑤「4個同時放水」計算!$AL$69:$AQ$69,◆入力◆⑤「4個同時放水」計算!$AL$71:$AQ$71),IF($U11="分水栓",LOOKUP($I11,◆入力◆⑤「4個同時放水」計算!$AL$69:$AQ$69,◆入力◆⑤「4個同時放水」計算!$AL$72:$AQ$72),IF($U11="巻き出しフレキ",LOOKUP($I11,◆入力◆⑤「4個同時放水」計算!$AL$69:$AQ$69,◆入力◆⑤「4個同時放水」計算!$AL$73:$AQ$73),IF($U11="",0,0)))))))</f>
        <v>0</v>
      </c>
      <c r="AI11" s="90">
        <f>IF($U11="仕切弁",LOOKUP($I11,◆入力◆⑤「4個同時放水」計算!$AL$59:$AX$59,◆入力◆⑤「4個同時放水」計算!$AL$64:$AX$64),IF($U11="逆止弁",LOOKUP($I11,◆入力◆⑤「4個同時放水」計算!$AL$59:$AX$59,◆入力◆⑤「4個同時放水」計算!$AL$65:$AX$65),IF($U11="水道メーター",LOOKUP($I11,◆入力◆⑤「4個同時放水」計算!$AL$69:$AQ$69,◆入力◆⑤「4個同時放水」計算!$AL$70:$AQ$70),IF($U11="止水栓",LOOKUP($I11,◆入力◆⑤「4個同時放水」計算!$AL$69:$AQ$69,◆入力◆⑤「4個同時放水」計算!$AL$71:$AQ$71),IF($U11="分水栓",LOOKUP($I11,◆入力◆⑤「4個同時放水」計算!$AL$69:$AQ$69,◆入力◆⑤「4個同時放水」計算!$AL$72:$AQ$72),IF($U11="巻き出しフレキ",LOOKUP($I11,◆入力◆⑤「4個同時放水」計算!$AL$69:$AQ$69,◆入力◆⑤「4個同時放水」計算!$AL$73:$AQ$73),IF($U11="",0,0)))))))</f>
        <v>0</v>
      </c>
      <c r="AJ11" s="183"/>
      <c r="AK11" s="57" t="s">
        <v>42</v>
      </c>
      <c r="AL11" s="63">
        <v>3.34</v>
      </c>
      <c r="AM11" s="63">
        <v>4.37</v>
      </c>
      <c r="AN11" s="63">
        <v>5.85</v>
      </c>
      <c r="AO11" s="63">
        <v>8.51</v>
      </c>
      <c r="AP11" s="63">
        <v>8.25</v>
      </c>
      <c r="AQ11" s="63">
        <v>9.7899999999999991</v>
      </c>
      <c r="AR11" s="63">
        <v>11.45</v>
      </c>
      <c r="AS11" s="63">
        <v>14.11</v>
      </c>
      <c r="AT11" s="63">
        <v>21.62</v>
      </c>
      <c r="AU11" s="63">
        <v>31.57</v>
      </c>
      <c r="AV11" s="63">
        <v>41.17</v>
      </c>
      <c r="AW11" s="63">
        <v>54.83</v>
      </c>
      <c r="AX11" s="63">
        <v>70.37</v>
      </c>
      <c r="BB11" s="50"/>
    </row>
    <row r="12" spans="6:72" ht="14.25" customHeight="1" x14ac:dyDescent="0.15">
      <c r="F12" s="235"/>
      <c r="G12" s="40"/>
      <c r="H12" s="145"/>
      <c r="I12" s="91">
        <f>IF(I11="",0,IF(I10="SGP-VB",LOOKUP(I11,◆入力◆⑤「4個同時放水」計算!$AL$4:$AX$4,◆入力◆⑤「4個同時放水」計算!$AL$5:$AX$5),IF(I10="SGP-PB",LOOKUP(I11,◆入力◆⑤「4個同時放水」計算!$AL$15:$AX$15,◆入力◆⑤「4個同時放水」計算!$AL$16:$AX$16),IF(I10="HIVP",LOOKUP(I11,◆入力◆⑤「4個同時放水」計算!$AL$26:$AX$26,◆入力◆⑤「4個同時放水」計算!$AL$27:$AX$27),IF(OR(I10="SGP",I10="フレキ"),LOOKUP(I11,◆入力◆⑤「4個同時放水」計算!$AL$37:$AX$37,◆入力◆⑤「4個同時放水」計算!$AL$38:$AX$38),IF(I10="SUS",LOOKUP(I11,◆入力◆⑤「4個同時放水」計算!$AL$48:$AX$48,◆入力◆⑤「4個同時放水」計算!$AL$49:$AX$49),IF(OR(I10="PE",I10="PP"),LOOKUP(I11,◆入力◆⑤「4個同時放水」計算!$AL$59:$AX$59,◆入力◆⑤「4個同時放水」計算!$AL$60:$AX$60))))))))</f>
        <v>0</v>
      </c>
      <c r="J12" s="40"/>
      <c r="K12" s="73"/>
      <c r="L12" s="74"/>
      <c r="M12" s="75"/>
      <c r="N12" s="76"/>
      <c r="O12" s="87" t="str">
        <f>IF(I11="","","Ｔ分")</f>
        <v/>
      </c>
      <c r="P12" s="174"/>
      <c r="Q12" s="88">
        <f>IF(I11=0,0,IF(I10="SGP-VB",LOOKUP(I11,◆入力◆⑤「4個同時放水」計算!$AL$4:$AX$4,◆入力◆⑤「4個同時放水」計算!$AL$8:$AX$8),IF(I10="SGP-PB",LOOKUP(I11,◆入力◆⑤「4個同時放水」計算!$AL$15:$AX$15,◆入力◆⑤「4個同時放水」計算!$AL$19:$AX$19),IF(I10="HIVP",LOOKUP(I11,◆入力◆⑤「4個同時放水」計算!$AL$26:$AX$26,◆入力◆⑤「4個同時放水」計算!$AL$30:$AX$30),IF(OR(I10="SGP",I10="フレキ"),LOOKUP(I11,◆入力◆⑤「4個同時放水」計算!$AL$37:$AX$37,◆入力◆⑤「4個同時放水」計算!$AL$41:$AX$41),IF(I10="SUS",LOOKUP(I11,◆入力◆⑤「4個同時放水」計算!$AL$48:$AX$48,◆入力◆⑤「4個同時放水」計算!$AL$52:$AX$52),IF(OR(I10="PE",I10="PP"),LOOKUP(I11,◆入力◆⑤「4個同時放水」計算!$AL$59:$AX$59,◆入力◆⑤「4個同時放水」計算!$AL$63:$AX$63))))))))</f>
        <v>0</v>
      </c>
      <c r="R12" s="82">
        <f t="shared" si="0"/>
        <v>0</v>
      </c>
      <c r="S12" s="83"/>
      <c r="T12" s="84"/>
      <c r="U12" s="178"/>
      <c r="V12" s="174"/>
      <c r="W12" s="82">
        <f>IF($U12="Yスト",AC12,IF($I10="sgp-vb",AD12,IF($I10="sgp-pb",AE12,IF($I10="hivp",AF12,IF(OR($I10="sgp",$I10="フレキ"),AG12,IF($I10="sus",AH12,IF(OR($I10="PE",$I10="PP"),AI12,0)))))))</f>
        <v>0</v>
      </c>
      <c r="X12" s="82">
        <f t="shared" si="1"/>
        <v>0</v>
      </c>
      <c r="Y12" s="83"/>
      <c r="Z12" s="92">
        <f>ROUNDUP(L11*Y11,2)</f>
        <v>0</v>
      </c>
      <c r="AA12" s="40"/>
      <c r="AB12" s="93"/>
      <c r="AC12" s="90">
        <f>IF(U12="Yスト",IF(I10="SGP-VB",LOOKUP(I11,◆入力◆⑤「4個同時放水」計算!$AL$4:$AX$4,◆入力◆⑤「4個同時放水」計算!$AL$11:$AX$11),IF(I10="SGP-PB",LOOKUP(I11,◆入力◆⑤「4個同時放水」計算!$AL$15:$AX$15,◆入力◆⑤「4個同時放水」計算!$AL$22:$AX$22),IF(I10="HIVP",LOOKUP(I11,◆入力◆⑤「4個同時放水」計算!$AL$26:$AX$26,◆入力◆⑤「4個同時放水」計算!$AL$33:$AX$33),IF(OR(I10="SGP",I10="フレキ"),LOOKUP(I11,◆入力◆⑤「4個同時放水」計算!$AL$37:$AX$37,◆入力◆⑤「4個同時放水」計算!$AL$44:$AX$44),IF(I10="SUS",LOOKUP(I11,◆入力◆⑤「4個同時放水」計算!$AL$48:$AX$48,◆入力◆⑤「4個同時放水」計算!$AL$55:$AX$55),IF(OR(I10="PE",I10="PP"),LOOKUP(I11,◆入力◆⑤「4個同時放水」計算!$AL$59:$AX$59,◆入力◆⑤「4個同時放水」計算!$AL$66:$AX$66))))))),0)</f>
        <v>0</v>
      </c>
      <c r="AD12" s="90">
        <f>IF($U12="仕切弁",LOOKUP($I11,◆入力◆⑤「4個同時放水」計算!$AL$4:$AX$4,◆入力◆⑤「4個同時放水」計算!$AL$9:$AX$9),IF($U12="逆止弁",LOOKUP($I11,◆入力◆⑤「4個同時放水」計算!$AL$4:$AX$4,◆入力◆⑤「4個同時放水」計算!$AL$10:$AX$10),IF($U12="水道メーター",LOOKUP($I11,◆入力◆⑤「4個同時放水」計算!$AL$69:$AQ$69,◆入力◆⑤「4個同時放水」計算!$AL$70:$AQ$70),IF($U12="止水栓",LOOKUP($I11,◆入力◆⑤「4個同時放水」計算!$AL$69:$AQ$69,◆入力◆⑤「4個同時放水」計算!$AL$71:$AQ$71),IF($U12="分水栓",LOOKUP($I11,◆入力◆⑤「4個同時放水」計算!$AL$69:$AQ$69,◆入力◆⑤「4個同時放水」計算!$AL$72:$AQ$72),IF($U12="巻き出しフレキ",LOOKUP($I11,◆入力◆⑤「4個同時放水」計算!$AL$69:$AQ$69,◆入力◆⑤「4個同時放水」計算!$AL$73:$AQ$73),IF($U12="",0,0)))))))</f>
        <v>0</v>
      </c>
      <c r="AE12" s="90">
        <f>IF($U12="仕切弁",LOOKUP($I11,◆入力◆⑤「4個同時放水」計算!$AL$15:$AX$15,◆入力◆⑤「4個同時放水」計算!$AL$20:$AX$20),IF($U12="逆止弁",LOOKUP($I11,◆入力◆⑤「4個同時放水」計算!$AL$15:$AX$15,◆入力◆⑤「4個同時放水」計算!$AL$21:$AX$21),IF($U12="水道メーター",LOOKUP($I11,◆入力◆⑤「4個同時放水」計算!$AL$69:$AQ$69,◆入力◆⑤「4個同時放水」計算!$AL$70:$AQ$70),IF($U12="止水栓",LOOKUP($I11,◆入力◆⑤「4個同時放水」計算!$AL$69:$AQ$69,◆入力◆⑤「4個同時放水」計算!$AL$71:$AQ$71),IF($U12="分水栓",LOOKUP($I11,◆入力◆⑤「4個同時放水」計算!$AL$69:$AQ$69,◆入力◆⑤「4個同時放水」計算!$AL$72:$AQ$72),IF($U12="巻き出しフレキ",LOOKUP($I11,◆入力◆⑤「4個同時放水」計算!$AL$69:$AQ$69,◆入力◆⑤「4個同時放水」計算!$AL$73:$AQ$73),IF($U12="",0,0)))))))</f>
        <v>0</v>
      </c>
      <c r="AF12" s="90">
        <f>IF($U12="仕切弁",LOOKUP($I11,◆入力◆⑤「4個同時放水」計算!$AL$26:$AX$26,◆入力◆⑤「4個同時放水」計算!$AL$31:$AX$31),IF($U12="逆止弁",LOOKUP($I11,◆入力◆⑤「4個同時放水」計算!$AL$26:$AX$26,◆入力◆⑤「4個同時放水」計算!$AL$32:$AX$32),IF($U12="水道メーター",LOOKUP($I11,◆入力◆⑤「4個同時放水」計算!$AL$69:$AQ$69,◆入力◆⑤「4個同時放水」計算!$AL$70:$AQ$70),IF($U12="止水栓",LOOKUP($I11,◆入力◆⑤「4個同時放水」計算!$AL$69:$AQ$69,◆入力◆⑤「4個同時放水」計算!$AL$71:$AQ$71),IF($U12="分水栓",LOOKUP($I11,◆入力◆⑤「4個同時放水」計算!$AL$69:$AQ$69,◆入力◆⑤「4個同時放水」計算!$AL$72:$AQ$72),IF($U12="巻き出しフレキ",LOOKUP($I11,◆入力◆⑤「4個同時放水」計算!$AL$69:$AQ$69,◆入力◆⑤「4個同時放水」計算!$AL$73:$AQ$73),IF($U12="",0,0)))))))</f>
        <v>0</v>
      </c>
      <c r="AG12" s="90">
        <f>IF($U12="仕切弁",LOOKUP($I11,◆入力◆⑤「4個同時放水」計算!$AL$37:$AX$37,◆入力◆⑤「4個同時放水」計算!$AL$42:$AX$42),IF($U12="逆止弁",LOOKUP($I11,◆入力◆⑤「4個同時放水」計算!$AL$37:$AX$37,◆入力◆⑤「4個同時放水」計算!$AL$43:$AX$43),IF($U12="水道メーター",LOOKUP($I11,◆入力◆⑤「4個同時放水」計算!$AL$69:$AQ$69,◆入力◆⑤「4個同時放水」計算!$AL$70:$AQ$70),IF($U12="止水栓",LOOKUP($I11,◆入力◆⑤「4個同時放水」計算!$AL$69:$AQ$69,◆入力◆⑤「4個同時放水」計算!$AL$71:$AQ$71),IF($U12="分水栓",LOOKUP($I11,◆入力◆⑤「4個同時放水」計算!$AL$69:$AQ$69,◆入力◆⑤「4個同時放水」計算!$AL$72:$AQ$72),IF($U12="巻き出しフレキ",LOOKUP($I11,◆入力◆⑤「4個同時放水」計算!$AL$69:$AQ$69,◆入力◆⑤「4個同時放水」計算!$AL$73:$AQ$73),IF($U12="",0,0)))))))</f>
        <v>0</v>
      </c>
      <c r="AH12" s="90">
        <f>IF($U12="仕切弁",LOOKUP($I11,◆入力◆⑤「4個同時放水」計算!$AL$48:$AX$48,◆入力◆⑤「4個同時放水」計算!$AL$53:$AX$53),IF($U12="逆止弁",LOOKUP($I11,◆入力◆⑤「4個同時放水」計算!$AL$48:$AX$48,◆入力◆⑤「4個同時放水」計算!$AL$54:$AX$54),IF($U12="水道メーター",LOOKUP($I11,◆入力◆⑤「4個同時放水」計算!$AL$69:$AQ$69,◆入力◆⑤「4個同時放水」計算!$AL$70:$AQ$70),IF($U12="止水栓",LOOKUP($I11,◆入力◆⑤「4個同時放水」計算!$AL$69:$AQ$69,◆入力◆⑤「4個同時放水」計算!$AL$71:$AQ$71),IF($U12="分水栓",LOOKUP($I11,◆入力◆⑤「4個同時放水」計算!$AL$69:$AQ$69,◆入力◆⑤「4個同時放水」計算!$AL$72:$AQ$72),IF($U12="巻き出しフレキ",LOOKUP($I11,◆入力◆⑤「4個同時放水」計算!$AL$69:$AQ$69,◆入力◆⑤「4個同時放水」計算!$AL$73:$AQ$73),IF($U12="",0,0)))))))</f>
        <v>0</v>
      </c>
      <c r="AI12" s="90">
        <f>IF($U12="仕切弁",LOOKUP($I11,◆入力◆⑤「4個同時放水」計算!$AL$59:$AX$59,◆入力◆⑤「4個同時放水」計算!$AL$64:$AX$64),IF($U12="逆止弁",LOOKUP($I11,◆入力◆⑤「4個同時放水」計算!$AL$59:$AX$59,◆入力◆⑤「4個同時放水」計算!$AL$65:$AX$65),IF($U12="水道メーター",LOOKUP($I11,◆入力◆⑤「4個同時放水」計算!$AL$69:$AQ$69,◆入力◆⑤「4個同時放水」計算!$AL$70:$AQ$70),IF($U12="止水栓",LOOKUP($I11,◆入力◆⑤「4個同時放水」計算!$AL$69:$AQ$69,◆入力◆⑤「4個同時放水」計算!$AL$71:$AQ$71),IF($U12="分水栓",LOOKUP($I11,◆入力◆⑤「4個同時放水」計算!$AL$69:$AQ$69,◆入力◆⑤「4個同時放水」計算!$AL$72:$AQ$72),IF($U12="巻き出しフレキ",LOOKUP($I11,◆入力◆⑤「4個同時放水」計算!$AL$69:$AQ$69,◆入力◆⑤「4個同時放水」計算!$AL$73:$AQ$73),IF($U12="",0,0)))))))</f>
        <v>0</v>
      </c>
      <c r="AJ12" s="144"/>
      <c r="BB12" s="50"/>
    </row>
    <row r="13" spans="6:72" x14ac:dyDescent="0.15">
      <c r="F13" s="235" t="s">
        <v>22</v>
      </c>
      <c r="G13" s="40"/>
      <c r="H13" s="168"/>
      <c r="I13" s="189" t="str">
        <f>IF(H13="","",◆入力◆①配管容量!$M$3)</f>
        <v/>
      </c>
      <c r="J13" s="40"/>
      <c r="K13" s="94"/>
      <c r="L13" s="95"/>
      <c r="M13" s="96"/>
      <c r="N13" s="85"/>
      <c r="O13" s="77" t="str">
        <f>IF(I14="","","E９０°")</f>
        <v/>
      </c>
      <c r="P13" s="173"/>
      <c r="Q13" s="78">
        <f>IF(I14=0,0,IF(I13="SGP-VB",LOOKUP(I14,◆入力◆⑤「4個同時放水」計算!$AL$4:$AX$4,◆入力◆⑤「4個同時放水」計算!$AL$6:$AX$6),IF(I13="SGP-PB",LOOKUP(I14,◆入力◆⑤「4個同時放水」計算!$AL$15:$AX$15,◆入力◆⑤「4個同時放水」計算!$AL$17:$AX$17),IF(I13="HIVP",LOOKUP(I14,◆入力◆⑤「4個同時放水」計算!$AL$26:$AX$26,◆入力◆⑤「4個同時放水」計算!$AL$28:$AX$28),IF(OR(I13="SGP",I13="フレキ"),LOOKUP(I14,◆入力◆⑤「4個同時放水」計算!$AL$37:$AX$37,◆入力◆⑤「4個同時放水」計算!$AL$39:$AX$39),IF(I13="SUS",LOOKUP(I14,◆入力◆⑤「4個同時放水」計算!$AL$48:$AX$48,◆入力◆⑤「4個同時放水」計算!$AL$50:$AX$50),IF(OR(I13="PE",I13="PP"),LOOKUP(I14,◆入力◆⑤「4個同時放水」計算!$AL$59:$AX$59,◆入力◆⑤「4個同時放水」計算!$AL$61:$AX$61))))))))</f>
        <v>0</v>
      </c>
      <c r="R13" s="79">
        <f t="shared" si="0"/>
        <v>0</v>
      </c>
      <c r="S13" s="80"/>
      <c r="T13" s="81">
        <v>0</v>
      </c>
      <c r="U13" s="176"/>
      <c r="V13" s="173"/>
      <c r="W13" s="79">
        <f>IF($U13="Yスト",AC13,IF($I13="sgp-vb",AD13,IF($I13="sgp-pb",AE13,IF($I13="hivp",AF13,IF(OR($I13="sgp",$I13="フレキ"),AG13,IF($I13="sus",AH13,IF(OR($I13="PE",$I13="PP"),AI13,0)))))))</f>
        <v>0</v>
      </c>
      <c r="X13" s="79">
        <f t="shared" si="1"/>
        <v>0</v>
      </c>
      <c r="Y13" s="80"/>
      <c r="Z13" s="84">
        <f t="shared" ref="Z13" si="2">IF(AND($U13="電動弁",$V13=1),LOOKUP($K14,$AL$76:$BQ$76,$AL$77:$BQ$77),IF(AND($U13="逆流防止装置E",$V13=1),LOOKUP($I14,$AN$105:$AQ$105,$AN109:$AQ109),IF(AND($U13="逆流防止装置K",$V13=1),LOOKUP($I14,$AN$105:$AQ$105,$AN110:$AQ110),IF(AND($U13="逆流防止装置T",$V13=1),LOOKUP($I14,$AN$105:$AQ$105,$AN111:$AQ111),0))))</f>
        <v>0</v>
      </c>
      <c r="AA13" s="40"/>
      <c r="AB13" s="76"/>
      <c r="AC13" s="86">
        <f>IF(U13="Yスト",IF(I13="SGP-VB",LOOKUP(I14,◆入力◆⑤「4個同時放水」計算!$AL$4:$AX$4,◆入力◆⑤「4個同時放水」計算!$AL$11:$AX$11),IF(I13="SGP-PB",LOOKUP(I14,◆入力◆⑤「4個同時放水」計算!$AL$15:$AX$15,◆入力◆⑤「4個同時放水」計算!$AL$22:$AX$22),IF(I13="HIVP",LOOKUP(I14,◆入力◆⑤「4個同時放水」計算!$AL$26:$AX$26,◆入力◆⑤「4個同時放水」計算!$AL$33:$AX$33),IF(OR(I13="SGP",I13="フレキ"),LOOKUP(I14,◆入力◆⑤「4個同時放水」計算!$AL$37:$AX$37,◆入力◆⑤「4個同時放水」計算!$AL$44:$AX$44),IF(I13="SUS",LOOKUP(I14,◆入力◆⑤「4個同時放水」計算!$AL$48:$AX$48,◆入力◆⑤「4個同時放水」計算!$AL$55:$AX$55),IF(OR(I13="PE",I13="PP"),LOOKUP(I14,◆入力◆⑤「4個同時放水」計算!$AL$59:$AX$59,◆入力◆⑤「4個同時放水」計算!$AL$66:$AX$66))))))),0)</f>
        <v>0</v>
      </c>
      <c r="AD13" s="86">
        <f>IF($U13="仕切弁",LOOKUP($I14,◆入力◆⑤「4個同時放水」計算!$AL$4:$AX$4,◆入力◆⑤「4個同時放水」計算!$AL$9:$AX$9),IF($U13="逆止弁",LOOKUP($I14,◆入力◆⑤「4個同時放水」計算!$AL$4:$AX$4,◆入力◆⑤「4個同時放水」計算!$AL$10:$AX$10),IF($U13="水道メーター",LOOKUP($I14,◆入力◆⑤「4個同時放水」計算!$AL$69:$AQ$69,◆入力◆⑤「4個同時放水」計算!$AL$70:$AQ$70),IF($U13="止水栓",LOOKUP($I14,◆入力◆⑤「4個同時放水」計算!$AL$69:$AQ$69,◆入力◆⑤「4個同時放水」計算!$AL$71:$AQ$71),IF($U13="分水栓",LOOKUP($I14,◆入力◆⑤「4個同時放水」計算!$AL$69:$AQ$69,◆入力◆⑤「4個同時放水」計算!$AL$72:$AQ$72),IF($U13="巻き出しフレキ",LOOKUP($I14,◆入力◆⑤「4個同時放水」計算!$AL$69:$AQ$69,◆入力◆⑤「4個同時放水」計算!$AL$73:$AQ$73),IF($U13="",0,0)))))))</f>
        <v>0</v>
      </c>
      <c r="AE13" s="86">
        <f>IF($U13="仕切弁",LOOKUP($I14,◆入力◆⑤「4個同時放水」計算!$AL$15:$AX$15,◆入力◆⑤「4個同時放水」計算!$AL$20:$AX$20),IF($U13="逆止弁",LOOKUP($I14,◆入力◆⑤「4個同時放水」計算!$AL$15:$AX$15,◆入力◆⑤「4個同時放水」計算!$AL$21:$AX$21),IF($U13="水道メーター",LOOKUP($I14,◆入力◆⑤「4個同時放水」計算!$AL$69:$AQ$69,◆入力◆⑤「4個同時放水」計算!$AL$70:$AQ$70),IF($U13="止水栓",LOOKUP($I14,◆入力◆⑤「4個同時放水」計算!$AL$69:$AQ$69,◆入力◆⑤「4個同時放水」計算!$AL$71:$AQ$71),IF($U13="分水栓",LOOKUP($I14,◆入力◆⑤「4個同時放水」計算!$AL$69:$AQ$69,◆入力◆⑤「4個同時放水」計算!$AL$72:$AQ$72),IF($U13="巻き出しフレキ",LOOKUP($I14,◆入力◆⑤「4個同時放水」計算!$AL$69:$AQ$69,◆入力◆⑤「4個同時放水」計算!$AL$73:$AQ$73),IF($U13="",0,0)))))))</f>
        <v>0</v>
      </c>
      <c r="AF13" s="86">
        <f>IF($U13="仕切弁",LOOKUP($I14,◆入力◆⑤「4個同時放水」計算!$AL$26:$AX$26,◆入力◆⑤「4個同時放水」計算!$AL$31:$AX$31),IF($U13="逆止弁",LOOKUP($I14,◆入力◆⑤「4個同時放水」計算!$AL$26:$AX$26,◆入力◆⑤「4個同時放水」計算!$AL$32:$AX$32),IF($U13="水道メーター",LOOKUP($I14,◆入力◆⑤「4個同時放水」計算!$AL$69:$AQ$69,◆入力◆⑤「4個同時放水」計算!$AL$70:$AQ$70),IF($U13="止水栓",LOOKUP($I14,◆入力◆⑤「4個同時放水」計算!$AL$69:$AQ$69,◆入力◆⑤「4個同時放水」計算!$AL$71:$AQ$71),IF($U13="分水栓",LOOKUP($I14,◆入力◆⑤「4個同時放水」計算!$AL$69:$AQ$69,◆入力◆⑤「4個同時放水」計算!$AL$72:$AQ$72),IF($U13="巻き出しフレキ",LOOKUP($I14,◆入力◆⑤「4個同時放水」計算!$AL$69:$AQ$69,◆入力◆⑤「4個同時放水」計算!$AL$73:$AQ$73),IF($U13="",0,0)))))))</f>
        <v>0</v>
      </c>
      <c r="AG13" s="86">
        <f>IF($U13="仕切弁",LOOKUP($I14,◆入力◆⑤「4個同時放水」計算!$AL$37:$AX$37,◆入力◆⑤「4個同時放水」計算!$AL$42:$AX$42),IF($U13="逆止弁",LOOKUP($I14,◆入力◆⑤「4個同時放水」計算!$AL$37:$AX$37,◆入力◆⑤「4個同時放水」計算!$AL$43:$AX$43),IF($U13="水道メーター",LOOKUP($I14,◆入力◆⑤「4個同時放水」計算!$AL$69:$AQ$69,◆入力◆⑤「4個同時放水」計算!$AL$70:$AQ$70),IF($U13="止水栓",LOOKUP($I14,◆入力◆⑤「4個同時放水」計算!$AL$69:$AQ$69,◆入力◆⑤「4個同時放水」計算!$AL$71:$AQ$71),IF($U13="分水栓",LOOKUP($I14,◆入力◆⑤「4個同時放水」計算!$AL$69:$AQ$69,◆入力◆⑤「4個同時放水」計算!$AL$72:$AQ$72),IF($U13="巻き出しフレキ",LOOKUP($I14,◆入力◆⑤「4個同時放水」計算!$AL$69:$AQ$69,◆入力◆⑤「4個同時放水」計算!$AL$73:$AQ$73),IF($U13="",0,0)))))))</f>
        <v>0</v>
      </c>
      <c r="AH13" s="86">
        <f>IF($U13="仕切弁",LOOKUP($I14,◆入力◆⑤「4個同時放水」計算!$AL$48:$AX$48,◆入力◆⑤「4個同時放水」計算!$AL$53:$AX$53),IF($U13="逆止弁",LOOKUP($I14,◆入力◆⑤「4個同時放水」計算!$AL$48:$AX$48,◆入力◆⑤「4個同時放水」計算!$AL$54:$AX$54),IF($U13="水道メーター",LOOKUP($I14,◆入力◆⑤「4個同時放水」計算!$AL$69:$AQ$69,◆入力◆⑤「4個同時放水」計算!$AL$70:$AQ$70),IF($U13="止水栓",LOOKUP($I14,◆入力◆⑤「4個同時放水」計算!$AL$69:$AQ$69,◆入力◆⑤「4個同時放水」計算!$AL$71:$AQ$71),IF($U13="分水栓",LOOKUP($I14,◆入力◆⑤「4個同時放水」計算!$AL$69:$AQ$69,◆入力◆⑤「4個同時放水」計算!$AL$72:$AQ$72),IF($U13="巻き出しフレキ",LOOKUP($I14,◆入力◆⑤「4個同時放水」計算!$AL$69:$AQ$69,◆入力◆⑤「4個同時放水」計算!$AL$73:$AQ$73),IF($U13="",0,0)))))))</f>
        <v>0</v>
      </c>
      <c r="AI13" s="86">
        <f>IF($U13="仕切弁",LOOKUP($I14,◆入力◆⑤「4個同時放水」計算!$AL$59:$AX$59,◆入力◆⑤「4個同時放水」計算!$AL$64:$AX$64),IF($U13="逆止弁",LOOKUP($I14,◆入力◆⑤「4個同時放水」計算!$AL$59:$AX$59,◆入力◆⑤「4個同時放水」計算!$AL$65:$AX$65),IF($U13="水道メーター",LOOKUP($I14,◆入力◆⑤「4個同時放水」計算!$AL$69:$AQ$69,◆入力◆⑤「4個同時放水」計算!$AL$70:$AQ$70),IF($U13="止水栓",LOOKUP($I14,◆入力◆⑤「4個同時放水」計算!$AL$69:$AQ$69,◆入力◆⑤「4個同時放水」計算!$AL$71:$AQ$71),IF($U13="分水栓",LOOKUP($I14,◆入力◆⑤「4個同時放水」計算!$AL$69:$AQ$69,◆入力◆⑤「4個同時放水」計算!$AL$72:$AQ$72),IF($U13="巻き出しフレキ",LOOKUP($I14,◆入力◆⑤「4個同時放水」計算!$AL$69:$AQ$69,◆入力◆⑤「4個同時放水」計算!$AL$73:$AQ$73),IF($U13="",0,0)))))))</f>
        <v>0</v>
      </c>
      <c r="AJ13" s="144"/>
      <c r="BB13" s="50"/>
    </row>
    <row r="14" spans="6:72" x14ac:dyDescent="0.15">
      <c r="F14" s="235"/>
      <c r="G14" s="40"/>
      <c r="H14" s="186">
        <f>IF(H13=2,"②－③",IF(H13=1,"①－②",0))</f>
        <v>0</v>
      </c>
      <c r="I14" s="170"/>
      <c r="J14" s="40"/>
      <c r="K14" s="171"/>
      <c r="L14" s="74">
        <f>IF(I14="",0,IF(I14&gt;=65,K14^1.85*0.012/I15^4.87,ROUNDUP((0.0126+(0.01739-(0.1087*I15/100))/SQRT(4*K14/(60000*PI()*(I15/100)^2)))*(1/(I15/100))*((4*K14/(60000*PI()*(I15/100)^2))^2/(2*9.8)),4)))</f>
        <v>0</v>
      </c>
      <c r="M14" s="172"/>
      <c r="N14" s="84">
        <f>ROUNDUP(L14*M14,2)</f>
        <v>0</v>
      </c>
      <c r="O14" s="87" t="str">
        <f>IF(I14="","","Ｔ直")</f>
        <v/>
      </c>
      <c r="P14" s="174"/>
      <c r="Q14" s="88">
        <f>IF(I14=0,0,IF(I13="SGP-VB",LOOKUP(I14,◆入力◆⑤「4個同時放水」計算!$AL$4:$AX$4,◆入力◆⑤「4個同時放水」計算!$AL$7:$AX$7),IF(I13="SGP-PB",LOOKUP(I14,◆入力◆⑤「4個同時放水」計算!$AL$15:$AX$15,◆入力◆⑤「4個同時放水」計算!$AL$18:$AX$18),IF(I13="HIVP",LOOKUP(I14,◆入力◆⑤「4個同時放水」計算!$AL$26:$AX$26,◆入力◆⑤「4個同時放水」計算!$AL$29:$AX$29),IF(OR(I13="SGP",I13="フレキ"),LOOKUP(I14,◆入力◆⑤「4個同時放水」計算!$AL$37:$AX$37,◆入力◆⑤「4個同時放水」計算!$AL$40:$AX$40),IF(I13="SUS",LOOKUP(I14,◆入力◆⑤「4個同時放水」計算!$AL$48:$AX$48,◆入力◆⑤「4個同時放水」計算!$AL$51:$AX$51),IF(OR(I13="PE",I13="PP"),LOOKUP(I14,◆入力◆⑤「4個同時放水」計算!$AL$59:$AX$59,◆入力◆⑤「4個同時放水」計算!$AL$62:$AX$62))))))))</f>
        <v>0</v>
      </c>
      <c r="R14" s="82">
        <f t="shared" si="0"/>
        <v>0</v>
      </c>
      <c r="S14" s="83">
        <f>R13+R14+R15</f>
        <v>0</v>
      </c>
      <c r="T14" s="84">
        <f>ROUNDUP(L14*S14,2)</f>
        <v>0</v>
      </c>
      <c r="U14" s="177"/>
      <c r="V14" s="174"/>
      <c r="W14" s="82">
        <f>IF($U14="Yスト",AC14,IF($I13="sgp-vb",AD14,IF($I13="sgp-pb",AE14,IF($I13="hivp",AF14,IF(OR($I13="sgp",$I13="フレキ"),AG14,IF($I13="sus",AH14,IF(OR($I13="PE",$I13="PP"),AI14,0)))))))</f>
        <v>0</v>
      </c>
      <c r="X14" s="82">
        <f t="shared" si="1"/>
        <v>0</v>
      </c>
      <c r="Y14" s="83">
        <f>SUM(X13:X15)</f>
        <v>0</v>
      </c>
      <c r="Z14" s="84">
        <f t="shared" ref="Z14" si="3">IF(AND($U14="電動弁",$V14=1),LOOKUP($K14,$AL$76:$BQ$76,$AL$77:$BQ$77),IF(AND($U14="逆流防止装置E",$V14=1),LOOKUP($I14,$AN$105:$AQ$105,$AN109:$AQ109),IF(AND($U14="逆流防止装置K",$V14=1),LOOKUP($I14,$AN$105:$AQ$105,$AN110:$AQ110),IF(AND($U14="逆流防止装置T",$V14=1),LOOKUP($I14,$AN$105:$AQ$105,$AN111:$AQ111),0))))</f>
        <v>0</v>
      </c>
      <c r="AA14" s="40"/>
      <c r="AB14" s="84">
        <f>N14+T14+Z13+Z14+Z15</f>
        <v>0</v>
      </c>
      <c r="AC14" s="89">
        <f>IF(U14="Yスト",IF(I13="SGP-VB",LOOKUP(I14,◆入力◆⑤「4個同時放水」計算!$AL$4:$AX$4,◆入力◆⑤「4個同時放水」計算!$AL$11:$AX$11),IF(I13="SGP-PB",LOOKUP(I14,◆入力◆⑤「4個同時放水」計算!$AL$15:$AX$15,◆入力◆⑤「4個同時放水」計算!$AL$22:$AX$22),IF(I13="HIVP",LOOKUP(I14,◆入力◆⑤「4個同時放水」計算!$AL$26:$AX$26,◆入力◆⑤「4個同時放水」計算!$AL$33:$AX$33),IF(OR(I13="SGP",I13="フレキ"),LOOKUP(I14,◆入力◆⑤「4個同時放水」計算!$AL$37:$AX$37,◆入力◆⑤「4個同時放水」計算!$AL$44:$AX$44),IF(I13="SUS",LOOKUP(I14,◆入力◆⑤「4個同時放水」計算!$AL$48:$AX$48,◆入力◆⑤「4個同時放水」計算!$AL$55:$AX$55),IF(OR(I13="PE",I13="PP"),LOOKUP(I14,◆入力◆⑤「4個同時放水」計算!$AL$59:$AX$59,◆入力◆⑤「4個同時放水」計算!$AL$66:$AX$66))))))),0)</f>
        <v>0</v>
      </c>
      <c r="AD14" s="90">
        <f>IF($U14="仕切弁",LOOKUP($I14,◆入力◆⑤「4個同時放水」計算!$AL$4:$AX$4,◆入力◆⑤「4個同時放水」計算!$AL$9:$AX$9),IF($U14="逆止弁",LOOKUP($I14,◆入力◆⑤「4個同時放水」計算!$AL$4:$AX$4,◆入力◆⑤「4個同時放水」計算!$AL$10:$AX$10),IF($U14="水道メーター",LOOKUP($I14,◆入力◆⑤「4個同時放水」計算!$AL$69:$AQ$69,◆入力◆⑤「4個同時放水」計算!$AL$70:$AQ$70),IF($U14="止水栓",LOOKUP($I14,◆入力◆⑤「4個同時放水」計算!$AL$69:$AQ$69,◆入力◆⑤「4個同時放水」計算!$AL$71:$AQ$71),IF($U14="分水栓",LOOKUP($I14,◆入力◆⑤「4個同時放水」計算!$AL$69:$AQ$69,◆入力◆⑤「4個同時放水」計算!$AL$72:$AQ$72),IF($U14="巻き出しフレキ",LOOKUP($I14,◆入力◆⑤「4個同時放水」計算!$AL$69:$AQ$69,◆入力◆⑤「4個同時放水」計算!$AL$73:$AQ$73),IF($U14="",0,0)))))))</f>
        <v>0</v>
      </c>
      <c r="AE14" s="90">
        <f>IF($U14="仕切弁",LOOKUP($I14,◆入力◆⑤「4個同時放水」計算!$AL$15:$AX$15,◆入力◆⑤「4個同時放水」計算!$AL$20:$AX$20),IF($U14="逆止弁",LOOKUP($I14,◆入力◆⑤「4個同時放水」計算!$AL$15:$AX$15,◆入力◆⑤「4個同時放水」計算!$AL$21:$AX$21),IF($U14="水道メーター",LOOKUP($I14,◆入力◆⑤「4個同時放水」計算!$AL$69:$AQ$69,◆入力◆⑤「4個同時放水」計算!$AL$70:$AQ$70),IF($U14="止水栓",LOOKUP($I14,◆入力◆⑤「4個同時放水」計算!$AL$69:$AQ$69,◆入力◆⑤「4個同時放水」計算!$AL$71:$AQ$71),IF($U14="分水栓",LOOKUP($I14,◆入力◆⑤「4個同時放水」計算!$AL$69:$AQ$69,◆入力◆⑤「4個同時放水」計算!$AL$72:$AQ$72),IF($U14="巻き出しフレキ",LOOKUP($I14,◆入力◆⑤「4個同時放水」計算!$AL$69:$AQ$69,◆入力◆⑤「4個同時放水」計算!$AL$73:$AQ$73),IF($U14="",0,0)))))))</f>
        <v>0</v>
      </c>
      <c r="AF14" s="90">
        <f>IF($U14="仕切弁",LOOKUP($I14,◆入力◆⑤「4個同時放水」計算!$AL$26:$AX$26,◆入力◆⑤「4個同時放水」計算!$AL$31:$AX$31),IF($U14="逆止弁",LOOKUP($I14,◆入力◆⑤「4個同時放水」計算!$AL$26:$AX$26,◆入力◆⑤「4個同時放水」計算!$AL$32:$AX$32),IF($U14="水道メーター",LOOKUP($I14,◆入力◆⑤「4個同時放水」計算!$AL$69:$AQ$69,◆入力◆⑤「4個同時放水」計算!$AL$70:$AQ$70),IF($U14="止水栓",LOOKUP($I14,◆入力◆⑤「4個同時放水」計算!$AL$69:$AQ$69,◆入力◆⑤「4個同時放水」計算!$AL$71:$AQ$71),IF($U14="分水栓",LOOKUP($I14,◆入力◆⑤「4個同時放水」計算!$AL$69:$AQ$69,◆入力◆⑤「4個同時放水」計算!$AL$72:$AQ$72),IF($U14="巻き出しフレキ",LOOKUP($I14,◆入力◆⑤「4個同時放水」計算!$AL$69:$AQ$69,◆入力◆⑤「4個同時放水」計算!$AL$73:$AQ$73),IF($U14="",0,0)))))))</f>
        <v>0</v>
      </c>
      <c r="AG14" s="90">
        <f>IF($U14="仕切弁",LOOKUP($I14,◆入力◆⑤「4個同時放水」計算!$AL$37:$AX$37,◆入力◆⑤「4個同時放水」計算!$AL$42:$AX$42),IF($U14="逆止弁",LOOKUP($I14,◆入力◆⑤「4個同時放水」計算!$AL$37:$AX$37,◆入力◆⑤「4個同時放水」計算!$AL$43:$AX$43),IF($U14="水道メーター",LOOKUP($I14,◆入力◆⑤「4個同時放水」計算!$AL$69:$AQ$69,◆入力◆⑤「4個同時放水」計算!$AL$70:$AQ$70),IF($U14="止水栓",LOOKUP($I14,◆入力◆⑤「4個同時放水」計算!$AL$69:$AQ$69,◆入力◆⑤「4個同時放水」計算!$AL$71:$AQ$71),IF($U14="分水栓",LOOKUP($I14,◆入力◆⑤「4個同時放水」計算!$AL$69:$AQ$69,◆入力◆⑤「4個同時放水」計算!$AL$72:$AQ$72),IF($U14="巻き出しフレキ",LOOKUP($I14,◆入力◆⑤「4個同時放水」計算!$AL$69:$AQ$69,◆入力◆⑤「4個同時放水」計算!$AL$73:$AQ$73),IF($U14="",0,0)))))))</f>
        <v>0</v>
      </c>
      <c r="AH14" s="90">
        <f>IF($U14="仕切弁",LOOKUP($I14,◆入力◆⑤「4個同時放水」計算!$AL$48:$AX$48,◆入力◆⑤「4個同時放水」計算!$AL$53:$AX$53),IF($U14="逆止弁",LOOKUP($I14,◆入力◆⑤「4個同時放水」計算!$AL$48:$AX$48,◆入力◆⑤「4個同時放水」計算!$AL$54:$AX$54),IF($U14="水道メーター",LOOKUP($I14,◆入力◆⑤「4個同時放水」計算!$AL$69:$AQ$69,◆入力◆⑤「4個同時放水」計算!$AL$70:$AQ$70),IF($U14="止水栓",LOOKUP($I14,◆入力◆⑤「4個同時放水」計算!$AL$69:$AQ$69,◆入力◆⑤「4個同時放水」計算!$AL$71:$AQ$71),IF($U14="分水栓",LOOKUP($I14,◆入力◆⑤「4個同時放水」計算!$AL$69:$AQ$69,◆入力◆⑤「4個同時放水」計算!$AL$72:$AQ$72),IF($U14="巻き出しフレキ",LOOKUP($I14,◆入力◆⑤「4個同時放水」計算!$AL$69:$AQ$69,◆入力◆⑤「4個同時放水」計算!$AL$73:$AQ$73),IF($U14="",0,0)))))))</f>
        <v>0</v>
      </c>
      <c r="AI14" s="90">
        <f>IF($U14="仕切弁",LOOKUP($I14,◆入力◆⑤「4個同時放水」計算!$AL$59:$AX$59,◆入力◆⑤「4個同時放水」計算!$AL$64:$AX$64),IF($U14="逆止弁",LOOKUP($I14,◆入力◆⑤「4個同時放水」計算!$AL$59:$AX$59,◆入力◆⑤「4個同時放水」計算!$AL$65:$AX$65),IF($U14="水道メーター",LOOKUP($I14,◆入力◆⑤「4個同時放水」計算!$AL$69:$AQ$69,◆入力◆⑤「4個同時放水」計算!$AL$70:$AQ$70),IF($U14="止水栓",LOOKUP($I14,◆入力◆⑤「4個同時放水」計算!$AL$69:$AQ$69,◆入力◆⑤「4個同時放水」計算!$AL$71:$AQ$71),IF($U14="分水栓",LOOKUP($I14,◆入力◆⑤「4個同時放水」計算!$AL$69:$AQ$69,◆入力◆⑤「4個同時放水」計算!$AL$72:$AQ$72),IF($U14="巻き出しフレキ",LOOKUP($I14,◆入力◆⑤「4個同時放水」計算!$AL$69:$AQ$69,◆入力◆⑤「4個同時放水」計算!$AL$73:$AQ$73),IF($U14="",0,0)))))))</f>
        <v>0</v>
      </c>
      <c r="AJ14" s="144"/>
      <c r="AK14" s="55" t="s">
        <v>53</v>
      </c>
      <c r="AL14" s="40"/>
      <c r="AM14" s="40"/>
      <c r="AN14" s="40"/>
      <c r="AO14" s="56" t="s">
        <v>54</v>
      </c>
      <c r="AP14" s="40"/>
      <c r="AQ14" s="40"/>
      <c r="AR14" s="40"/>
      <c r="AS14" s="40"/>
      <c r="AT14" s="40"/>
      <c r="AU14" s="40"/>
      <c r="BB14" s="50"/>
    </row>
    <row r="15" spans="6:72" x14ac:dyDescent="0.15">
      <c r="F15" s="235"/>
      <c r="G15" s="40"/>
      <c r="H15" s="149"/>
      <c r="I15" s="91">
        <f>IF(I14="",0,IF(I13="SGP-VB",LOOKUP(I14,◆入力◆⑤「4個同時放水」計算!$AL$4:$AX$4,◆入力◆⑤「4個同時放水」計算!$AL$5:$AX$5),IF(I13="SGP-PB",LOOKUP(I14,◆入力◆⑤「4個同時放水」計算!$AL$15:$AX$15,◆入力◆⑤「4個同時放水」計算!$AL$16:$AX$16),IF(I13="HIVP",LOOKUP(I14,◆入力◆⑤「4個同時放水」計算!$AL$26:$AX$26,◆入力◆⑤「4個同時放水」計算!$AL$27:$AX$27),IF(OR(I13="SGP",I13="フレキ"),LOOKUP(I14,◆入力◆⑤「4個同時放水」計算!$AL$37:$AX$37,◆入力◆⑤「4個同時放水」計算!$AL$38:$AX$38),IF(I13="SUS",LOOKUP(I14,◆入力◆⑤「4個同時放水」計算!$AL$48:$AX$48,◆入力◆⑤「4個同時放水」計算!$AL$49:$AX$49),IF(OR(I13="PE",I13="PP"),LOOKUP(I14,◆入力◆⑤「4個同時放水」計算!$AL$59:$AX$59,◆入力◆⑤「4個同時放水」計算!$AL$60:$AX$60))))))))</f>
        <v>0</v>
      </c>
      <c r="J15" s="40"/>
      <c r="K15" s="97"/>
      <c r="L15" s="98"/>
      <c r="M15" s="99"/>
      <c r="N15" s="93"/>
      <c r="O15" s="87" t="str">
        <f>IF(I14="","","Ｔ分")</f>
        <v/>
      </c>
      <c r="P15" s="175"/>
      <c r="Q15" s="88">
        <f>IF(I14=0,0,IF(I13="SGP-VB",LOOKUP(I14,◆入力◆⑤「4個同時放水」計算!$AL$4:$AX$4,◆入力◆⑤「4個同時放水」計算!$AL$8:$AX$8),IF(I13="SGP-PB",LOOKUP(I14,◆入力◆⑤「4個同時放水」計算!$AL$15:$AX$15,◆入力◆⑤「4個同時放水」計算!$AL$19:$AX$19),IF(I13="HIVP",LOOKUP(I14,◆入力◆⑤「4個同時放水」計算!$AL$26:$AX$26,◆入力◆⑤「4個同時放水」計算!$AL$30:$AX$30),IF(OR(I13="SGP",I13="フレキ"),LOOKUP(I14,◆入力◆⑤「4個同時放水」計算!$AL$37:$AX$37,◆入力◆⑤「4個同時放水」計算!$AL$41:$AX$41),IF(I13="SUS",LOOKUP(I14,◆入力◆⑤「4個同時放水」計算!$AL$48:$AX$48,◆入力◆⑤「4個同時放水」計算!$AL$52:$AX$52),IF(OR(I13="PE",I13="PP"),LOOKUP(I14,◆入力◆⑤「4個同時放水」計算!$AL$59:$AX$59,◆入力◆⑤「4個同時放水」計算!$AL$63:$AX$63))))))))</f>
        <v>0</v>
      </c>
      <c r="R15" s="100">
        <f t="shared" si="0"/>
        <v>0</v>
      </c>
      <c r="S15" s="101"/>
      <c r="T15" s="92"/>
      <c r="U15" s="179"/>
      <c r="V15" s="175"/>
      <c r="W15" s="100">
        <f>IF($U15="Yスト",AC15,IF($I13="sgp-vb",AD15,IF($I13="sgp-pb",AE15,IF($I13="hivp",AF15,IF(OR($I13="sgp",$I13="フレキ"),AG15,IF($I13="sus",AH15,IF(OR($I13="PE",$I13="PP"),AI15,0)))))))</f>
        <v>0</v>
      </c>
      <c r="X15" s="100">
        <f t="shared" si="1"/>
        <v>0</v>
      </c>
      <c r="Y15" s="101"/>
      <c r="Z15" s="92">
        <f t="shared" ref="Z15" si="4">ROUNDUP(L14*Y14,2)</f>
        <v>0</v>
      </c>
      <c r="AA15" s="40"/>
      <c r="AB15" s="76"/>
      <c r="AC15" s="90">
        <f>IF(U15="Yスト",IF(I13="SGP-VB",LOOKUP(I14,◆入力◆⑤「4個同時放水」計算!$AL$4:$AX$4,◆入力◆⑤「4個同時放水」計算!$AL$11:$AX$11),IF(I13="SGP-PB",LOOKUP(I14,◆入力◆⑤「4個同時放水」計算!$AL$15:$AX$15,◆入力◆⑤「4個同時放水」計算!$AL$22:$AX$22),IF(I13="HIVP",LOOKUP(I14,◆入力◆⑤「4個同時放水」計算!$AL$26:$AX$26,◆入力◆⑤「4個同時放水」計算!$AL$33:$AX$33),IF(OR(I13="SGP",I13="フレキ"),LOOKUP(I14,◆入力◆⑤「4個同時放水」計算!$AL$37:$AX$37,◆入力◆⑤「4個同時放水」計算!$AL$44:$AX$44),IF(I13="SUS",LOOKUP(I14,◆入力◆⑤「4個同時放水」計算!$AL$48:$AX$48,◆入力◆⑤「4個同時放水」計算!$AL$55:$AX$55),IF(OR(I13="PE",I13="PP"),LOOKUP(I14,◆入力◆⑤「4個同時放水」計算!$AL$59:$AX$59,◆入力◆⑤「4個同時放水」計算!$AL$66:$AX$66))))))),0)</f>
        <v>0</v>
      </c>
      <c r="AD15" s="90">
        <f>IF($U15="仕切弁",LOOKUP($I14,◆入力◆⑤「4個同時放水」計算!$AL$4:$AX$4,◆入力◆⑤「4個同時放水」計算!$AL$9:$AX$9),IF($U15="逆止弁",LOOKUP($I14,◆入力◆⑤「4個同時放水」計算!$AL$4:$AX$4,◆入力◆⑤「4個同時放水」計算!$AL$10:$AX$10),IF($U15="水道メーター",LOOKUP($I14,◆入力◆⑤「4個同時放水」計算!$AL$69:$AQ$69,◆入力◆⑤「4個同時放水」計算!$AL$70:$AQ$70),IF($U15="止水栓",LOOKUP($I14,◆入力◆⑤「4個同時放水」計算!$AL$69:$AQ$69,◆入力◆⑤「4個同時放水」計算!$AL$71:$AQ$71),IF($U15="分水栓",LOOKUP($I14,◆入力◆⑤「4個同時放水」計算!$AL$69:$AQ$69,◆入力◆⑤「4個同時放水」計算!$AL$72:$AQ$72),IF($U15="巻き出しフレキ",LOOKUP($I14,◆入力◆⑤「4個同時放水」計算!$AL$69:$AQ$69,◆入力◆⑤「4個同時放水」計算!$AL$73:$AQ$73),IF($U15="",0,0)))))))</f>
        <v>0</v>
      </c>
      <c r="AE15" s="90">
        <f>IF($U15="仕切弁",LOOKUP($I14,◆入力◆⑤「4個同時放水」計算!$AL$15:$AX$15,◆入力◆⑤「4個同時放水」計算!$AL$20:$AX$20),IF($U15="逆止弁",LOOKUP($I14,◆入力◆⑤「4個同時放水」計算!$AL$15:$AX$15,◆入力◆⑤「4個同時放水」計算!$AL$21:$AX$21),IF($U15="水道メーター",LOOKUP($I14,◆入力◆⑤「4個同時放水」計算!$AL$69:$AQ$69,◆入力◆⑤「4個同時放水」計算!$AL$70:$AQ$70),IF($U15="止水栓",LOOKUP($I14,◆入力◆⑤「4個同時放水」計算!$AL$69:$AQ$69,◆入力◆⑤「4個同時放水」計算!$AL$71:$AQ$71),IF($U15="分水栓",LOOKUP($I14,◆入力◆⑤「4個同時放水」計算!$AL$69:$AQ$69,◆入力◆⑤「4個同時放水」計算!$AL$72:$AQ$72),IF($U15="巻き出しフレキ",LOOKUP($I14,◆入力◆⑤「4個同時放水」計算!$AL$69:$AQ$69,◆入力◆⑤「4個同時放水」計算!$AL$73:$AQ$73),IF($U15="",0,0)))))))</f>
        <v>0</v>
      </c>
      <c r="AF15" s="90">
        <f>IF($U15="仕切弁",LOOKUP($I14,◆入力◆⑤「4個同時放水」計算!$AL$26:$AX$26,◆入力◆⑤「4個同時放水」計算!$AL$31:$AX$31),IF($U15="逆止弁",LOOKUP($I14,◆入力◆⑤「4個同時放水」計算!$AL$26:$AX$26,◆入力◆⑤「4個同時放水」計算!$AL$32:$AX$32),IF($U15="水道メーター",LOOKUP($I14,◆入力◆⑤「4個同時放水」計算!$AL$69:$AQ$69,◆入力◆⑤「4個同時放水」計算!$AL$70:$AQ$70),IF($U15="止水栓",LOOKUP($I14,◆入力◆⑤「4個同時放水」計算!$AL$69:$AQ$69,◆入力◆⑤「4個同時放水」計算!$AL$71:$AQ$71),IF($U15="分水栓",LOOKUP($I14,◆入力◆⑤「4個同時放水」計算!$AL$69:$AQ$69,◆入力◆⑤「4個同時放水」計算!$AL$72:$AQ$72),IF($U15="巻き出しフレキ",LOOKUP($I14,◆入力◆⑤「4個同時放水」計算!$AL$69:$AQ$69,◆入力◆⑤「4個同時放水」計算!$AL$73:$AQ$73),IF($U15="",0,0)))))))</f>
        <v>0</v>
      </c>
      <c r="AG15" s="90">
        <f>IF($U15="仕切弁",LOOKUP($I14,◆入力◆⑤「4個同時放水」計算!$AL$37:$AX$37,◆入力◆⑤「4個同時放水」計算!$AL$42:$AX$42),IF($U15="逆止弁",LOOKUP($I14,◆入力◆⑤「4個同時放水」計算!$AL$37:$AX$37,◆入力◆⑤「4個同時放水」計算!$AL$43:$AX$43),IF($U15="水道メーター",LOOKUP($I14,◆入力◆⑤「4個同時放水」計算!$AL$69:$AQ$69,◆入力◆⑤「4個同時放水」計算!$AL$70:$AQ$70),IF($U15="止水栓",LOOKUP($I14,◆入力◆⑤「4個同時放水」計算!$AL$69:$AQ$69,◆入力◆⑤「4個同時放水」計算!$AL$71:$AQ$71),IF($U15="分水栓",LOOKUP($I14,◆入力◆⑤「4個同時放水」計算!$AL$69:$AQ$69,◆入力◆⑤「4個同時放水」計算!$AL$72:$AQ$72),IF($U15="巻き出しフレキ",LOOKUP($I14,◆入力◆⑤「4個同時放水」計算!$AL$69:$AQ$69,◆入力◆⑤「4個同時放水」計算!$AL$73:$AQ$73),IF($U15="",0,0)))))))</f>
        <v>0</v>
      </c>
      <c r="AH15" s="90">
        <f>IF($U15="仕切弁",LOOKUP($I14,◆入力◆⑤「4個同時放水」計算!$AL$48:$AX$48,◆入力◆⑤「4個同時放水」計算!$AL$53:$AX$53),IF($U15="逆止弁",LOOKUP($I14,◆入力◆⑤「4個同時放水」計算!$AL$48:$AX$48,◆入力◆⑤「4個同時放水」計算!$AL$54:$AX$54),IF($U15="水道メーター",LOOKUP($I14,◆入力◆⑤「4個同時放水」計算!$AL$69:$AQ$69,◆入力◆⑤「4個同時放水」計算!$AL$70:$AQ$70),IF($U15="止水栓",LOOKUP($I14,◆入力◆⑤「4個同時放水」計算!$AL$69:$AQ$69,◆入力◆⑤「4個同時放水」計算!$AL$71:$AQ$71),IF($U15="分水栓",LOOKUP($I14,◆入力◆⑤「4個同時放水」計算!$AL$69:$AQ$69,◆入力◆⑤「4個同時放水」計算!$AL$72:$AQ$72),IF($U15="巻き出しフレキ",LOOKUP($I14,◆入力◆⑤「4個同時放水」計算!$AL$69:$AQ$69,◆入力◆⑤「4個同時放水」計算!$AL$73:$AQ$73),IF($U15="",0,0)))))))</f>
        <v>0</v>
      </c>
      <c r="AI15" s="90">
        <f>IF($U15="仕切弁",LOOKUP($I14,◆入力◆⑤「4個同時放水」計算!$AL$59:$AX$59,◆入力◆⑤「4個同時放水」計算!$AL$64:$AX$64),IF($U15="逆止弁",LOOKUP($I14,◆入力◆⑤「4個同時放水」計算!$AL$59:$AX$59,◆入力◆⑤「4個同時放水」計算!$AL$65:$AX$65),IF($U15="水道メーター",LOOKUP($I14,◆入力◆⑤「4個同時放水」計算!$AL$69:$AQ$69,◆入力◆⑤「4個同時放水」計算!$AL$70:$AQ$70),IF($U15="止水栓",LOOKUP($I14,◆入力◆⑤「4個同時放水」計算!$AL$69:$AQ$69,◆入力◆⑤「4個同時放水」計算!$AL$71:$AQ$71),IF($U15="分水栓",LOOKUP($I14,◆入力◆⑤「4個同時放水」計算!$AL$69:$AQ$69,◆入力◆⑤「4個同時放水」計算!$AL$72:$AQ$72),IF($U15="巻き出しフレキ",LOOKUP($I14,◆入力◆⑤「4個同時放水」計算!$AL$69:$AQ$69,◆入力◆⑤「4個同時放水」計算!$AL$73:$AQ$73),IF($U15="",0,0)))))))</f>
        <v>0</v>
      </c>
      <c r="AJ15" s="144"/>
      <c r="AK15" s="57" t="s">
        <v>75</v>
      </c>
      <c r="AL15" s="58">
        <v>15</v>
      </c>
      <c r="AM15" s="58">
        <v>20</v>
      </c>
      <c r="AN15" s="58">
        <v>25</v>
      </c>
      <c r="AO15" s="58">
        <v>32</v>
      </c>
      <c r="AP15" s="58">
        <v>40</v>
      </c>
      <c r="AQ15" s="58">
        <v>50</v>
      </c>
      <c r="AR15" s="58"/>
      <c r="AS15" s="58"/>
      <c r="AT15" s="58"/>
      <c r="AU15" s="58"/>
      <c r="AV15" s="102"/>
      <c r="AW15" s="102"/>
      <c r="AX15" s="102"/>
      <c r="BB15" s="50"/>
    </row>
    <row r="16" spans="6:72" x14ac:dyDescent="0.15">
      <c r="F16" s="235" t="s">
        <v>23</v>
      </c>
      <c r="G16" s="40"/>
      <c r="H16" s="168"/>
      <c r="I16" s="189" t="str">
        <f>IF(H16="","",◆入力◆①配管容量!$M$3)</f>
        <v/>
      </c>
      <c r="J16" s="40"/>
      <c r="K16" s="73"/>
      <c r="L16" s="74"/>
      <c r="M16" s="75"/>
      <c r="N16" s="76"/>
      <c r="O16" s="77" t="str">
        <f>IF(I17="","","E９０°")</f>
        <v/>
      </c>
      <c r="P16" s="173"/>
      <c r="Q16" s="78">
        <f>IF(I17=0,0,IF(I16="SGP-VB",LOOKUP(I17,◆入力◆⑤「4個同時放水」計算!$AL$4:$AX$4,◆入力◆⑤「4個同時放水」計算!$AL$6:$AX$6),IF(I16="SGP-PB",LOOKUP(I17,◆入力◆⑤「4個同時放水」計算!$AL$15:$AX$15,◆入力◆⑤「4個同時放水」計算!$AL$17:$AX$17),IF(I16="HIVP",LOOKUP(I17,◆入力◆⑤「4個同時放水」計算!$AL$26:$AX$26,◆入力◆⑤「4個同時放水」計算!$AL$28:$AX$28),IF(OR(I16="SGP",I16="フレキ"),LOOKUP(I17,◆入力◆⑤「4個同時放水」計算!$AL$37:$AX$37,◆入力◆⑤「4個同時放水」計算!$AL$39:$AX$39),IF(I16="SUS",LOOKUP(I17,◆入力◆⑤「4個同時放水」計算!$AL$48:$AX$48,◆入力◆⑤「4個同時放水」計算!$AL$50:$AX$50),IF(OR(I16="PE",I16="PP"),LOOKUP(I17,◆入力◆⑤「4個同時放水」計算!$AL$59:$AX$59,◆入力◆⑤「4個同時放水」計算!$AL$61:$AX$61))))))))</f>
        <v>0</v>
      </c>
      <c r="R16" s="79">
        <f t="shared" si="0"/>
        <v>0</v>
      </c>
      <c r="S16" s="80"/>
      <c r="T16" s="81">
        <v>0</v>
      </c>
      <c r="U16" s="176"/>
      <c r="V16" s="174"/>
      <c r="W16" s="82">
        <f>IF($U16="Yスト",AC16,IF($I16="sgp-vb",AD16,IF($I16="sgp-pb",AE16,IF($I16="hivp",AF16,IF(OR($I16="sgp",$I16="フレキ"),AG16,IF($I16="sus",AH16,IF(OR($I16="PE",$I16="PP"),AI16,0)))))))</f>
        <v>0</v>
      </c>
      <c r="X16" s="82">
        <f t="shared" si="1"/>
        <v>0</v>
      </c>
      <c r="Y16" s="83"/>
      <c r="Z16" s="84">
        <f t="shared" ref="Z16" si="5">IF(AND($U16="電動弁",$V16=1),LOOKUP($K17,$AL$76:$BQ$76,$AL$77:$BQ$77),IF(AND($U16="逆流防止装置E",$V16=1),LOOKUP($I17,$AN$105:$AQ$105,$AN112:$AQ112),IF(AND($U16="逆流防止装置K",$V16=1),LOOKUP($I17,$AN$105:$AQ$105,$AN113:$AQ113),IF(AND($U16="逆流防止装置T",$V16=1),LOOKUP($I17,$AN$105:$AQ$105,$AN114:$AQ114),0))))</f>
        <v>0</v>
      </c>
      <c r="AA16" s="40"/>
      <c r="AB16" s="85"/>
      <c r="AC16" s="86">
        <f>IF(U16="Yスト",IF(I16="SGP-VB",LOOKUP(I17,◆入力◆⑤「4個同時放水」計算!$AL$4:$AX$4,◆入力◆⑤「4個同時放水」計算!$AL$11:$AX$11),IF(I16="SGP-PB",LOOKUP(I17,◆入力◆⑤「4個同時放水」計算!$AL$15:$AX$15,◆入力◆⑤「4個同時放水」計算!$AL$22:$AX$22),IF(I16="HIVP",LOOKUP(I17,◆入力◆⑤「4個同時放水」計算!$AL$26:$AX$26,◆入力◆⑤「4個同時放水」計算!$AL$33:$AX$33),IF(OR(I16="SGP",I16="フレキ"),LOOKUP(I17,◆入力◆⑤「4個同時放水」計算!$AL$37:$AX$37,◆入力◆⑤「4個同時放水」計算!$AL$44:$AX$44),IF(I16="SUS",LOOKUP(I17,◆入力◆⑤「4個同時放水」計算!$AL$48:$AX$48,◆入力◆⑤「4個同時放水」計算!$AL$55:$AX$55),IF(OR(I16="PE",I16="PP"),LOOKUP(I17,◆入力◆⑤「4個同時放水」計算!$AL$59:$AX$59,◆入力◆⑤「4個同時放水」計算!$AL$66:$AX$66))))))),0)</f>
        <v>0</v>
      </c>
      <c r="AD16" s="86">
        <f>IF($U16="仕切弁",LOOKUP($I17,◆入力◆⑤「4個同時放水」計算!$AL$4:$AX$4,◆入力◆⑤「4個同時放水」計算!$AL$9:$AX$9),IF($U16="逆止弁",LOOKUP($I17,◆入力◆⑤「4個同時放水」計算!$AL$4:$AX$4,◆入力◆⑤「4個同時放水」計算!$AL$10:$AX$10),IF($U16="水道メーター",LOOKUP($I17,◆入力◆⑤「4個同時放水」計算!$AL$69:$AQ$69,◆入力◆⑤「4個同時放水」計算!$AL$70:$AQ$70),IF($U16="止水栓",LOOKUP($I17,◆入力◆⑤「4個同時放水」計算!$AL$69:$AQ$69,◆入力◆⑤「4個同時放水」計算!$AL$71:$AQ$71),IF($U16="分水栓",LOOKUP($I17,◆入力◆⑤「4個同時放水」計算!$AL$69:$AQ$69,◆入力◆⑤「4個同時放水」計算!$AL$72:$AQ$72),IF($U16="巻き出しフレキ",LOOKUP($I17,◆入力◆⑤「4個同時放水」計算!$AL$69:$AQ$69,◆入力◆⑤「4個同時放水」計算!$AL$73:$AQ$73),IF($U16="",0,0)))))))</f>
        <v>0</v>
      </c>
      <c r="AE16" s="86">
        <f>IF($U16="仕切弁",LOOKUP($I17,◆入力◆⑤「4個同時放水」計算!$AL$15:$AX$15,◆入力◆⑤「4個同時放水」計算!$AL$20:$AX$20),IF($U16="逆止弁",LOOKUP($I17,◆入力◆⑤「4個同時放水」計算!$AL$15:$AX$15,◆入力◆⑤「4個同時放水」計算!$AL$21:$AX$21),IF($U16="水道メーター",LOOKUP($I17,◆入力◆⑤「4個同時放水」計算!$AL$69:$AQ$69,◆入力◆⑤「4個同時放水」計算!$AL$70:$AQ$70),IF($U16="止水栓",LOOKUP($I17,◆入力◆⑤「4個同時放水」計算!$AL$69:$AQ$69,◆入力◆⑤「4個同時放水」計算!$AL$71:$AQ$71),IF($U16="分水栓",LOOKUP($I17,◆入力◆⑤「4個同時放水」計算!$AL$69:$AQ$69,◆入力◆⑤「4個同時放水」計算!$AL$72:$AQ$72),IF($U16="巻き出しフレキ",LOOKUP($I17,◆入力◆⑤「4個同時放水」計算!$AL$69:$AQ$69,◆入力◆⑤「4個同時放水」計算!$AL$73:$AQ$73),IF($U16="",0,0)))))))</f>
        <v>0</v>
      </c>
      <c r="AF16" s="86">
        <f>IF($U16="仕切弁",LOOKUP($I17,◆入力◆⑤「4個同時放水」計算!$AL$26:$AX$26,◆入力◆⑤「4個同時放水」計算!$AL$31:$AX$31),IF($U16="逆止弁",LOOKUP($I17,◆入力◆⑤「4個同時放水」計算!$AL$26:$AX$26,◆入力◆⑤「4個同時放水」計算!$AL$32:$AX$32),IF($U16="水道メーター",LOOKUP($I17,◆入力◆⑤「4個同時放水」計算!$AL$69:$AQ$69,◆入力◆⑤「4個同時放水」計算!$AL$70:$AQ$70),IF($U16="止水栓",LOOKUP($I17,◆入力◆⑤「4個同時放水」計算!$AL$69:$AQ$69,◆入力◆⑤「4個同時放水」計算!$AL$71:$AQ$71),IF($U16="分水栓",LOOKUP($I17,◆入力◆⑤「4個同時放水」計算!$AL$69:$AQ$69,◆入力◆⑤「4個同時放水」計算!$AL$72:$AQ$72),IF($U16="巻き出しフレキ",LOOKUP($I17,◆入力◆⑤「4個同時放水」計算!$AL$69:$AQ$69,◆入力◆⑤「4個同時放水」計算!$AL$73:$AQ$73),IF($U16="",0,0)))))))</f>
        <v>0</v>
      </c>
      <c r="AG16" s="86">
        <f>IF($U16="仕切弁",LOOKUP($I17,◆入力◆⑤「4個同時放水」計算!$AL$37:$AX$37,◆入力◆⑤「4個同時放水」計算!$AL$42:$AX$42),IF($U16="逆止弁",LOOKUP($I17,◆入力◆⑤「4個同時放水」計算!$AL$37:$AX$37,◆入力◆⑤「4個同時放水」計算!$AL$43:$AX$43),IF($U16="水道メーター",LOOKUP($I17,◆入力◆⑤「4個同時放水」計算!$AL$69:$AQ$69,◆入力◆⑤「4個同時放水」計算!$AL$70:$AQ$70),IF($U16="止水栓",LOOKUP($I17,◆入力◆⑤「4個同時放水」計算!$AL$69:$AQ$69,◆入力◆⑤「4個同時放水」計算!$AL$71:$AQ$71),IF($U16="分水栓",LOOKUP($I17,◆入力◆⑤「4個同時放水」計算!$AL$69:$AQ$69,◆入力◆⑤「4個同時放水」計算!$AL$72:$AQ$72),IF($U16="巻き出しフレキ",LOOKUP($I17,◆入力◆⑤「4個同時放水」計算!$AL$69:$AQ$69,◆入力◆⑤「4個同時放水」計算!$AL$73:$AQ$73),IF($U16="",0,0)))))))</f>
        <v>0</v>
      </c>
      <c r="AH16" s="86">
        <f>IF($U16="仕切弁",LOOKUP($I17,◆入力◆⑤「4個同時放水」計算!$AL$48:$AX$48,◆入力◆⑤「4個同時放水」計算!$AL$53:$AX$53),IF($U16="逆止弁",LOOKUP($I17,◆入力◆⑤「4個同時放水」計算!$AL$48:$AX$48,◆入力◆⑤「4個同時放水」計算!$AL$54:$AX$54),IF($U16="水道メーター",LOOKUP($I17,◆入力◆⑤「4個同時放水」計算!$AL$69:$AQ$69,◆入力◆⑤「4個同時放水」計算!$AL$70:$AQ$70),IF($U16="止水栓",LOOKUP($I17,◆入力◆⑤「4個同時放水」計算!$AL$69:$AQ$69,◆入力◆⑤「4個同時放水」計算!$AL$71:$AQ$71),IF($U16="分水栓",LOOKUP($I17,◆入力◆⑤「4個同時放水」計算!$AL$69:$AQ$69,◆入力◆⑤「4個同時放水」計算!$AL$72:$AQ$72),IF($U16="巻き出しフレキ",LOOKUP($I17,◆入力◆⑤「4個同時放水」計算!$AL$69:$AQ$69,◆入力◆⑤「4個同時放水」計算!$AL$73:$AQ$73),IF($U16="",0,0)))))))</f>
        <v>0</v>
      </c>
      <c r="AI16" s="86">
        <f>IF($U16="仕切弁",LOOKUP($I17,◆入力◆⑤「4個同時放水」計算!$AL$59:$AX$59,◆入力◆⑤「4個同時放水」計算!$AL$64:$AX$64),IF($U16="逆止弁",LOOKUP($I17,◆入力◆⑤「4個同時放水」計算!$AL$59:$AX$59,◆入力◆⑤「4個同時放水」計算!$AL$65:$AX$65),IF($U16="水道メーター",LOOKUP($I17,◆入力◆⑤「4個同時放水」計算!$AL$69:$AQ$69,◆入力◆⑤「4個同時放水」計算!$AL$70:$AQ$70),IF($U16="止水栓",LOOKUP($I17,◆入力◆⑤「4個同時放水」計算!$AL$69:$AQ$69,◆入力◆⑤「4個同時放水」計算!$AL$71:$AQ$71),IF($U16="分水栓",LOOKUP($I17,◆入力◆⑤「4個同時放水」計算!$AL$69:$AQ$69,◆入力◆⑤「4個同時放水」計算!$AL$72:$AQ$72),IF($U16="巻き出しフレキ",LOOKUP($I17,◆入力◆⑤「4個同時放水」計算!$AL$69:$AQ$69,◆入力◆⑤「4個同時放水」計算!$AL$73:$AQ$73),IF($U16="",0,0)))))))</f>
        <v>0</v>
      </c>
      <c r="AJ16" s="144"/>
      <c r="AK16" s="57" t="s">
        <v>76</v>
      </c>
      <c r="AL16" s="103">
        <v>1.55</v>
      </c>
      <c r="AM16" s="103">
        <v>2.1</v>
      </c>
      <c r="AN16" s="103">
        <v>2.7</v>
      </c>
      <c r="AO16" s="103">
        <v>3.5</v>
      </c>
      <c r="AP16" s="103">
        <v>4.09</v>
      </c>
      <c r="AQ16" s="103">
        <v>5.22</v>
      </c>
      <c r="AR16" s="103"/>
      <c r="AS16" s="103"/>
      <c r="AT16" s="103"/>
      <c r="AU16" s="103"/>
      <c r="AV16" s="102"/>
      <c r="AW16" s="102"/>
      <c r="AX16" s="102"/>
      <c r="AY16" s="40"/>
      <c r="BB16" s="50"/>
    </row>
    <row r="17" spans="6:72" x14ac:dyDescent="0.15">
      <c r="F17" s="235"/>
      <c r="G17" s="40"/>
      <c r="H17" s="186">
        <f>IF(H16=3,"③－④",IF(H16=2,"②－③",0))</f>
        <v>0</v>
      </c>
      <c r="I17" s="170"/>
      <c r="J17" s="40"/>
      <c r="K17" s="171"/>
      <c r="L17" s="74">
        <f>IF(I17="",0,IF(I17&gt;=65,K17^1.85*0.012/I18^4.87,ROUNDUP((0.0126+(0.01739-(0.1087*I18/100))/SQRT(4*K17/(60000*PI()*(I18/100)^2)))*(1/(I18/100))*((4*K17/(60000*PI()*(I18/100)^2))^2/(2*9.8)),4)))</f>
        <v>0</v>
      </c>
      <c r="M17" s="172"/>
      <c r="N17" s="84">
        <f>ROUNDUP(L17*M17,2)</f>
        <v>0</v>
      </c>
      <c r="O17" s="87" t="str">
        <f>IF(I17="","","Ｔ直")</f>
        <v/>
      </c>
      <c r="P17" s="174"/>
      <c r="Q17" s="88">
        <f>IF(I17=0,0,IF(I16="SGP-VB",LOOKUP(I17,◆入力◆⑤「4個同時放水」計算!$AL$4:$AX$4,◆入力◆⑤「4個同時放水」計算!$AL$7:$AX$7),IF(I16="SGP-PB",LOOKUP(I17,◆入力◆⑤「4個同時放水」計算!$AL$15:$AX$15,◆入力◆⑤「4個同時放水」計算!$AL$18:$AX$18),IF(I16="HIVP",LOOKUP(I17,◆入力◆⑤「4個同時放水」計算!$AL$26:$AX$26,◆入力◆⑤「4個同時放水」計算!$AL$29:$AX$29),IF(OR(I16="SGP",I16="フレキ"),LOOKUP(I17,◆入力◆⑤「4個同時放水」計算!$AL$37:$AX$37,◆入力◆⑤「4個同時放水」計算!$AL$40:$AX$40),IF(I16="SUS",LOOKUP(I17,◆入力◆⑤「4個同時放水」計算!$AL$48:$AX$48,◆入力◆⑤「4個同時放水」計算!$AL$51:$AX$51),IF(OR(I16="PE",I16="PP"),LOOKUP(I17,◆入力◆⑤「4個同時放水」計算!$AL$59:$AX$59,◆入力◆⑤「4個同時放水」計算!$AL$62:$AX$62))))))))</f>
        <v>0</v>
      </c>
      <c r="R17" s="82">
        <f t="shared" si="0"/>
        <v>0</v>
      </c>
      <c r="S17" s="83">
        <f>R16+R17+R18</f>
        <v>0</v>
      </c>
      <c r="T17" s="84">
        <f>ROUNDUP(L17*S17,2)</f>
        <v>0</v>
      </c>
      <c r="U17" s="177"/>
      <c r="V17" s="174"/>
      <c r="W17" s="82">
        <f>IF($U17="Yスト",AC17,IF($I16="sgp-vb",AD17,IF($I16="sgp-pb",AE17,IF($I16="hivp",AF17,IF(OR($I16="sgp",$I16="フレキ"),AG17,IF($I16="sus",AH17,IF(OR($I16="PE",$I16="PP"),AI17,0)))))))</f>
        <v>0</v>
      </c>
      <c r="X17" s="82">
        <f t="shared" si="1"/>
        <v>0</v>
      </c>
      <c r="Y17" s="83">
        <f>SUM(X16:X18)</f>
        <v>0</v>
      </c>
      <c r="Z17" s="84">
        <f t="shared" ref="Z17" si="6">IF(AND($U17="電動弁",$V17=1),LOOKUP($K17,$AL$76:$BQ$76,$AL$77:$BQ$77),IF(AND($U17="逆流防止装置E",$V17=1),LOOKUP($I17,$AN$105:$AQ$105,$AN112:$AQ112),IF(AND($U17="逆流防止装置K",$V17=1),LOOKUP($I17,$AN$105:$AQ$105,$AN113:$AQ113),IF(AND($U17="逆流防止装置T",$V17=1),LOOKUP($I17,$AN$105:$AQ$105,$AN114:$AQ114),0))))</f>
        <v>0</v>
      </c>
      <c r="AA17" s="40"/>
      <c r="AB17" s="84">
        <f>N17+T17+Z16+Z17+Z18</f>
        <v>0</v>
      </c>
      <c r="AC17" s="89">
        <f>IF(U17="Yスト",IF(I16="SGP-VB",LOOKUP(I17,◆入力◆⑤「4個同時放水」計算!$AL$4:$AX$4,◆入力◆⑤「4個同時放水」計算!$AL$11:$AX$11),IF(I16="SGP-PB",LOOKUP(I17,◆入力◆⑤「4個同時放水」計算!$AL$15:$AX$15,◆入力◆⑤「4個同時放水」計算!$AL$22:$AX$22),IF(I16="HIVP",LOOKUP(I17,◆入力◆⑤「4個同時放水」計算!$AL$26:$AX$26,◆入力◆⑤「4個同時放水」計算!$AL$33:$AX$33),IF(OR(I16="SGP",I16="フレキ"),LOOKUP(I17,◆入力◆⑤「4個同時放水」計算!$AL$37:$AX$37,◆入力◆⑤「4個同時放水」計算!$AL$44:$AX$44),IF(I16="SUS",LOOKUP(I17,◆入力◆⑤「4個同時放水」計算!$AL$48:$AX$48,◆入力◆⑤「4個同時放水」計算!$AL$55:$AX$55),IF(OR(I16="PE",I16="PP"),LOOKUP(I17,◆入力◆⑤「4個同時放水」計算!$AL$59:$AX$59,◆入力◆⑤「4個同時放水」計算!$AL$66:$AX$66))))))),0)</f>
        <v>0</v>
      </c>
      <c r="AD17" s="90">
        <f>IF($U17="仕切弁",LOOKUP($I17,◆入力◆⑤「4個同時放水」計算!$AL$4:$AX$4,◆入力◆⑤「4個同時放水」計算!$AL$9:$AX$9),IF($U17="逆止弁",LOOKUP($I17,◆入力◆⑤「4個同時放水」計算!$AL$4:$AX$4,◆入力◆⑤「4個同時放水」計算!$AL$10:$AX$10),IF($U17="水道メーター",LOOKUP($I17,◆入力◆⑤「4個同時放水」計算!$AL$69:$AQ$69,◆入力◆⑤「4個同時放水」計算!$AL$70:$AQ$70),IF($U17="止水栓",LOOKUP($I17,◆入力◆⑤「4個同時放水」計算!$AL$69:$AQ$69,◆入力◆⑤「4個同時放水」計算!$AL$71:$AQ$71),IF($U17="分水栓",LOOKUP($I17,◆入力◆⑤「4個同時放水」計算!$AL$69:$AQ$69,◆入力◆⑤「4個同時放水」計算!$AL$72:$AQ$72),IF($U17="巻き出しフレキ",LOOKUP($I17,◆入力◆⑤「4個同時放水」計算!$AL$69:$AQ$69,◆入力◆⑤「4個同時放水」計算!$AL$73:$AQ$73),IF($U17="",0,0)))))))</f>
        <v>0</v>
      </c>
      <c r="AE17" s="90">
        <f>IF($U17="仕切弁",LOOKUP($I17,◆入力◆⑤「4個同時放水」計算!$AL$15:$AX$15,◆入力◆⑤「4個同時放水」計算!$AL$20:$AX$20),IF($U17="逆止弁",LOOKUP($I17,◆入力◆⑤「4個同時放水」計算!$AL$15:$AX$15,◆入力◆⑤「4個同時放水」計算!$AL$21:$AX$21),IF($U17="水道メーター",LOOKUP($I17,◆入力◆⑤「4個同時放水」計算!$AL$69:$AQ$69,◆入力◆⑤「4個同時放水」計算!$AL$70:$AQ$70),IF($U17="止水栓",LOOKUP($I17,◆入力◆⑤「4個同時放水」計算!$AL$69:$AQ$69,◆入力◆⑤「4個同時放水」計算!$AL$71:$AQ$71),IF($U17="分水栓",LOOKUP($I17,◆入力◆⑤「4個同時放水」計算!$AL$69:$AQ$69,◆入力◆⑤「4個同時放水」計算!$AL$72:$AQ$72),IF($U17="巻き出しフレキ",LOOKUP($I17,◆入力◆⑤「4個同時放水」計算!$AL$69:$AQ$69,◆入力◆⑤「4個同時放水」計算!$AL$73:$AQ$73),IF($U17="",0,0)))))))</f>
        <v>0</v>
      </c>
      <c r="AF17" s="90">
        <f>IF($U17="仕切弁",LOOKUP($I17,◆入力◆⑤「4個同時放水」計算!$AL$26:$AX$26,◆入力◆⑤「4個同時放水」計算!$AL$31:$AX$31),IF($U17="逆止弁",LOOKUP($I17,◆入力◆⑤「4個同時放水」計算!$AL$26:$AX$26,◆入力◆⑤「4個同時放水」計算!$AL$32:$AX$32),IF($U17="水道メーター",LOOKUP($I17,◆入力◆⑤「4個同時放水」計算!$AL$69:$AQ$69,◆入力◆⑤「4個同時放水」計算!$AL$70:$AQ$70),IF($U17="止水栓",LOOKUP($I17,◆入力◆⑤「4個同時放水」計算!$AL$69:$AQ$69,◆入力◆⑤「4個同時放水」計算!$AL$71:$AQ$71),IF($U17="分水栓",LOOKUP($I17,◆入力◆⑤「4個同時放水」計算!$AL$69:$AQ$69,◆入力◆⑤「4個同時放水」計算!$AL$72:$AQ$72),IF($U17="巻き出しフレキ",LOOKUP($I17,◆入力◆⑤「4個同時放水」計算!$AL$69:$AQ$69,◆入力◆⑤「4個同時放水」計算!$AL$73:$AQ$73),IF($U17="",0,0)))))))</f>
        <v>0</v>
      </c>
      <c r="AG17" s="90">
        <f>IF($U17="仕切弁",LOOKUP($I17,◆入力◆⑤「4個同時放水」計算!$AL$37:$AX$37,◆入力◆⑤「4個同時放水」計算!$AL$42:$AX$42),IF($U17="逆止弁",LOOKUP($I17,◆入力◆⑤「4個同時放水」計算!$AL$37:$AX$37,◆入力◆⑤「4個同時放水」計算!$AL$43:$AX$43),IF($U17="水道メーター",LOOKUP($I17,◆入力◆⑤「4個同時放水」計算!$AL$69:$AQ$69,◆入力◆⑤「4個同時放水」計算!$AL$70:$AQ$70),IF($U17="止水栓",LOOKUP($I17,◆入力◆⑤「4個同時放水」計算!$AL$69:$AQ$69,◆入力◆⑤「4個同時放水」計算!$AL$71:$AQ$71),IF($U17="分水栓",LOOKUP($I17,◆入力◆⑤「4個同時放水」計算!$AL$69:$AQ$69,◆入力◆⑤「4個同時放水」計算!$AL$72:$AQ$72),IF($U17="巻き出しフレキ",LOOKUP($I17,◆入力◆⑤「4個同時放水」計算!$AL$69:$AQ$69,◆入力◆⑤「4個同時放水」計算!$AL$73:$AQ$73),IF($U17="",0,0)))))))</f>
        <v>0</v>
      </c>
      <c r="AH17" s="90">
        <f>IF($U17="仕切弁",LOOKUP($I17,◆入力◆⑤「4個同時放水」計算!$AL$48:$AX$48,◆入力◆⑤「4個同時放水」計算!$AL$53:$AX$53),IF($U17="逆止弁",LOOKUP($I17,◆入力◆⑤「4個同時放水」計算!$AL$48:$AX$48,◆入力◆⑤「4個同時放水」計算!$AL$54:$AX$54),IF($U17="水道メーター",LOOKUP($I17,◆入力◆⑤「4個同時放水」計算!$AL$69:$AQ$69,◆入力◆⑤「4個同時放水」計算!$AL$70:$AQ$70),IF($U17="止水栓",LOOKUP($I17,◆入力◆⑤「4個同時放水」計算!$AL$69:$AQ$69,◆入力◆⑤「4個同時放水」計算!$AL$71:$AQ$71),IF($U17="分水栓",LOOKUP($I17,◆入力◆⑤「4個同時放水」計算!$AL$69:$AQ$69,◆入力◆⑤「4個同時放水」計算!$AL$72:$AQ$72),IF($U17="巻き出しフレキ",LOOKUP($I17,◆入力◆⑤「4個同時放水」計算!$AL$69:$AQ$69,◆入力◆⑤「4個同時放水」計算!$AL$73:$AQ$73),IF($U17="",0,0)))))))</f>
        <v>0</v>
      </c>
      <c r="AI17" s="90">
        <f>IF($U17="仕切弁",LOOKUP($I17,◆入力◆⑤「4個同時放水」計算!$AL$59:$AX$59,◆入力◆⑤「4個同時放水」計算!$AL$64:$AX$64),IF($U17="逆止弁",LOOKUP($I17,◆入力◆⑤「4個同時放水」計算!$AL$59:$AX$59,◆入力◆⑤「4個同時放水」計算!$AL$65:$AX$65),IF($U17="水道メーター",LOOKUP($I17,◆入力◆⑤「4個同時放水」計算!$AL$69:$AQ$69,◆入力◆⑤「4個同時放水」計算!$AL$70:$AQ$70),IF($U17="止水栓",LOOKUP($I17,◆入力◆⑤「4個同時放水」計算!$AL$69:$AQ$69,◆入力◆⑤「4個同時放水」計算!$AL$71:$AQ$71),IF($U17="分水栓",LOOKUP($I17,◆入力◆⑤「4個同時放水」計算!$AL$69:$AQ$69,◆入力◆⑤「4個同時放水」計算!$AL$72:$AQ$72),IF($U17="巻き出しフレキ",LOOKUP($I17,◆入力◆⑤「4個同時放水」計算!$AL$69:$AQ$69,◆入力◆⑤「4個同時放水」計算!$AL$73:$AQ$73),IF($U17="",0,0)))))))</f>
        <v>0</v>
      </c>
      <c r="AJ17" s="144"/>
      <c r="AK17" s="57" t="s">
        <v>4</v>
      </c>
      <c r="AL17" s="63">
        <v>6.6</v>
      </c>
      <c r="AM17" s="63">
        <v>5.5</v>
      </c>
      <c r="AN17" s="63">
        <v>5</v>
      </c>
      <c r="AO17" s="63">
        <v>5</v>
      </c>
      <c r="AP17" s="63">
        <v>4.4000000000000004</v>
      </c>
      <c r="AQ17" s="63">
        <v>4.0999999999999996</v>
      </c>
      <c r="AR17" s="103"/>
      <c r="AS17" s="103"/>
      <c r="AT17" s="103"/>
      <c r="AU17" s="103"/>
      <c r="AV17" s="102"/>
      <c r="AW17" s="102"/>
      <c r="AX17" s="102"/>
      <c r="AY17" s="40"/>
      <c r="BB17" s="50"/>
    </row>
    <row r="18" spans="6:72" x14ac:dyDescent="0.15">
      <c r="F18" s="235"/>
      <c r="G18" s="40"/>
      <c r="H18" s="145"/>
      <c r="I18" s="91">
        <f>IF(I17="",0,IF(I16="SGP-VB",LOOKUP(I17,◆入力◆⑤「4個同時放水」計算!$AL$4:$AX$4,◆入力◆⑤「4個同時放水」計算!$AL$5:$AX$5),IF(I16="SGP-PB",LOOKUP(I17,◆入力◆⑤「4個同時放水」計算!$AL$15:$AX$15,◆入力◆⑤「4個同時放水」計算!$AL$16:$AX$16),IF(I16="HIVP",LOOKUP(I17,◆入力◆⑤「4個同時放水」計算!$AL$26:$AX$26,◆入力◆⑤「4個同時放水」計算!$AL$27:$AX$27),IF(OR(I16="SGP",I16="フレキ"),LOOKUP(I17,◆入力◆⑤「4個同時放水」計算!$AL$37:$AX$37,◆入力◆⑤「4個同時放水」計算!$AL$38:$AX$38),IF(I16="SUS",LOOKUP(I17,◆入力◆⑤「4個同時放水」計算!$AL$48:$AX$48,◆入力◆⑤「4個同時放水」計算!$AL$49:$AX$49),IF(OR(I16="PE",I16="PP"),LOOKUP(I17,◆入力◆⑤「4個同時放水」計算!$AL$59:$AX$59,◆入力◆⑤「4個同時放水」計算!$AL$60:$AX$60))))))))</f>
        <v>0</v>
      </c>
      <c r="J18" s="40"/>
      <c r="K18" s="73"/>
      <c r="L18" s="74"/>
      <c r="M18" s="75"/>
      <c r="N18" s="76"/>
      <c r="O18" s="87" t="str">
        <f>IF(I17="","","Ｔ分")</f>
        <v/>
      </c>
      <c r="P18" s="175"/>
      <c r="Q18" s="88">
        <f>IF(I17=0,0,IF(I16="SGP-VB",LOOKUP(I17,◆入力◆⑤「4個同時放水」計算!$AL$4:$AX$4,◆入力◆⑤「4個同時放水」計算!$AL$8:$AX$8),IF(I16="SGP-PB",LOOKUP(I17,◆入力◆⑤「4個同時放水」計算!$AL$15:$AX$15,◆入力◆⑤「4個同時放水」計算!$AL$19:$AX$19),IF(I16="HIVP",LOOKUP(I17,◆入力◆⑤「4個同時放水」計算!$AL$26:$AX$26,◆入力◆⑤「4個同時放水」計算!$AL$30:$AX$30),IF(OR(I16="SGP",I16="フレキ"),LOOKUP(I17,◆入力◆⑤「4個同時放水」計算!$AL$37:$AX$37,◆入力◆⑤「4個同時放水」計算!$AL$41:$AX$41),IF(I16="SUS",LOOKUP(I17,◆入力◆⑤「4個同時放水」計算!$AL$48:$AX$48,◆入力◆⑤「4個同時放水」計算!$AL$52:$AX$52),IF(OR(I16="PE",I16="PP"),LOOKUP(I17,◆入力◆⑤「4個同時放水」計算!$AL$59:$AX$59,◆入力◆⑤「4個同時放水」計算!$AL$63:$AX$63))))))))</f>
        <v>0</v>
      </c>
      <c r="R18" s="100">
        <f t="shared" si="0"/>
        <v>0</v>
      </c>
      <c r="S18" s="101"/>
      <c r="T18" s="92"/>
      <c r="U18" s="178"/>
      <c r="V18" s="174"/>
      <c r="W18" s="100">
        <f>IF($U18="Yスト",AC18,IF($I16="sgp-vb",AD18,IF($I16="sgp-pb",AE18,IF($I16="hivp",AF18,IF(OR($I16="sgp",$I16="フレキ"),AG18,IF($I16="sus",AH18,IF(OR($I16="PE",$I16="PP"),AI18,0)))))))</f>
        <v>0</v>
      </c>
      <c r="X18" s="82">
        <f t="shared" si="1"/>
        <v>0</v>
      </c>
      <c r="Y18" s="83"/>
      <c r="Z18" s="92">
        <f t="shared" ref="Z18" si="7">ROUNDUP(L17*Y17,2)</f>
        <v>0</v>
      </c>
      <c r="AA18" s="40"/>
      <c r="AB18" s="93"/>
      <c r="AC18" s="90">
        <f>IF(U18="Yスト",IF(I16="SGP-VB",LOOKUP(I17,◆入力◆⑤「4個同時放水」計算!$AL$4:$AX$4,◆入力◆⑤「4個同時放水」計算!$AL$11:$AX$11),IF(I16="SGP-PB",LOOKUP(I17,◆入力◆⑤「4個同時放水」計算!$AL$15:$AX$15,◆入力◆⑤「4個同時放水」計算!$AL$22:$AX$22),IF(I16="HIVP",LOOKUP(I17,◆入力◆⑤「4個同時放水」計算!$AL$26:$AX$26,◆入力◆⑤「4個同時放水」計算!$AL$33:$AX$33),IF(OR(I16="SGP",I16="フレキ"),LOOKUP(I17,◆入力◆⑤「4個同時放水」計算!$AL$37:$AX$37,◆入力◆⑤「4個同時放水」計算!$AL$44:$AX$44),IF(I16="SUS",LOOKUP(I17,◆入力◆⑤「4個同時放水」計算!$AL$48:$AX$48,◆入力◆⑤「4個同時放水」計算!$AL$55:$AX$55),IF(OR(I16="PE",I16="PP"),LOOKUP(I17,◆入力◆⑤「4個同時放水」計算!$AL$59:$AX$59,◆入力◆⑤「4個同時放水」計算!$AL$66:$AX$66))))))),0)</f>
        <v>0</v>
      </c>
      <c r="AD18" s="90">
        <f>IF($U18="仕切弁",LOOKUP($I17,◆入力◆⑤「4個同時放水」計算!$AL$4:$AX$4,◆入力◆⑤「4個同時放水」計算!$AL$9:$AX$9),IF($U18="逆止弁",LOOKUP($I17,◆入力◆⑤「4個同時放水」計算!$AL$4:$AX$4,◆入力◆⑤「4個同時放水」計算!$AL$10:$AX$10),IF($U18="水道メーター",LOOKUP($I17,◆入力◆⑤「4個同時放水」計算!$AL$69:$AQ$69,◆入力◆⑤「4個同時放水」計算!$AL$70:$AQ$70),IF($U18="止水栓",LOOKUP($I17,◆入力◆⑤「4個同時放水」計算!$AL$69:$AQ$69,◆入力◆⑤「4個同時放水」計算!$AL$71:$AQ$71),IF($U18="分水栓",LOOKUP($I17,◆入力◆⑤「4個同時放水」計算!$AL$69:$AQ$69,◆入力◆⑤「4個同時放水」計算!$AL$72:$AQ$72),IF($U18="巻き出しフレキ",LOOKUP($I17,◆入力◆⑤「4個同時放水」計算!$AL$69:$AQ$69,◆入力◆⑤「4個同時放水」計算!$AL$73:$AQ$73),IF($U18="",0,0)))))))</f>
        <v>0</v>
      </c>
      <c r="AE18" s="90">
        <f>IF($U18="仕切弁",LOOKUP($I17,◆入力◆⑤「4個同時放水」計算!$AL$15:$AX$15,◆入力◆⑤「4個同時放水」計算!$AL$20:$AX$20),IF($U18="逆止弁",LOOKUP($I17,◆入力◆⑤「4個同時放水」計算!$AL$15:$AX$15,◆入力◆⑤「4個同時放水」計算!$AL$21:$AX$21),IF($U18="水道メーター",LOOKUP($I17,◆入力◆⑤「4個同時放水」計算!$AL$69:$AQ$69,◆入力◆⑤「4個同時放水」計算!$AL$70:$AQ$70),IF($U18="止水栓",LOOKUP($I17,◆入力◆⑤「4個同時放水」計算!$AL$69:$AQ$69,◆入力◆⑤「4個同時放水」計算!$AL$71:$AQ$71),IF($U18="分水栓",LOOKUP($I17,◆入力◆⑤「4個同時放水」計算!$AL$69:$AQ$69,◆入力◆⑤「4個同時放水」計算!$AL$72:$AQ$72),IF($U18="巻き出しフレキ",LOOKUP($I17,◆入力◆⑤「4個同時放水」計算!$AL$69:$AQ$69,◆入力◆⑤「4個同時放水」計算!$AL$73:$AQ$73),IF($U18="",0,0)))))))</f>
        <v>0</v>
      </c>
      <c r="AF18" s="90">
        <f>IF($U18="仕切弁",LOOKUP($I17,◆入力◆⑤「4個同時放水」計算!$AL$26:$AX$26,◆入力◆⑤「4個同時放水」計算!$AL$31:$AX$31),IF($U18="逆止弁",LOOKUP($I17,◆入力◆⑤「4個同時放水」計算!$AL$26:$AX$26,◆入力◆⑤「4個同時放水」計算!$AL$32:$AX$32),IF($U18="水道メーター",LOOKUP($I17,◆入力◆⑤「4個同時放水」計算!$AL$69:$AQ$69,◆入力◆⑤「4個同時放水」計算!$AL$70:$AQ$70),IF($U18="止水栓",LOOKUP($I17,◆入力◆⑤「4個同時放水」計算!$AL$69:$AQ$69,◆入力◆⑤「4個同時放水」計算!$AL$71:$AQ$71),IF($U18="分水栓",LOOKUP($I17,◆入力◆⑤「4個同時放水」計算!$AL$69:$AQ$69,◆入力◆⑤「4個同時放水」計算!$AL$72:$AQ$72),IF($U18="巻き出しフレキ",LOOKUP($I17,◆入力◆⑤「4個同時放水」計算!$AL$69:$AQ$69,◆入力◆⑤「4個同時放水」計算!$AL$73:$AQ$73),IF($U18="",0,0)))))))</f>
        <v>0</v>
      </c>
      <c r="AG18" s="90">
        <f>IF($U18="仕切弁",LOOKUP($I17,◆入力◆⑤「4個同時放水」計算!$AL$37:$AX$37,◆入力◆⑤「4個同時放水」計算!$AL$42:$AX$42),IF($U18="逆止弁",LOOKUP($I17,◆入力◆⑤「4個同時放水」計算!$AL$37:$AX$37,◆入力◆⑤「4個同時放水」計算!$AL$43:$AX$43),IF($U18="水道メーター",LOOKUP($I17,◆入力◆⑤「4個同時放水」計算!$AL$69:$AQ$69,◆入力◆⑤「4個同時放水」計算!$AL$70:$AQ$70),IF($U18="止水栓",LOOKUP($I17,◆入力◆⑤「4個同時放水」計算!$AL$69:$AQ$69,◆入力◆⑤「4個同時放水」計算!$AL$71:$AQ$71),IF($U18="分水栓",LOOKUP($I17,◆入力◆⑤「4個同時放水」計算!$AL$69:$AQ$69,◆入力◆⑤「4個同時放水」計算!$AL$72:$AQ$72),IF($U18="巻き出しフレキ",LOOKUP($I17,◆入力◆⑤「4個同時放水」計算!$AL$69:$AQ$69,◆入力◆⑤「4個同時放水」計算!$AL$73:$AQ$73),IF($U18="",0,0)))))))</f>
        <v>0</v>
      </c>
      <c r="AH18" s="90">
        <f>IF($U18="仕切弁",LOOKUP($I17,◆入力◆⑤「4個同時放水」計算!$AL$48:$AX$48,◆入力◆⑤「4個同時放水」計算!$AL$53:$AX$53),IF($U18="逆止弁",LOOKUP($I17,◆入力◆⑤「4個同時放水」計算!$AL$48:$AX$48,◆入力◆⑤「4個同時放水」計算!$AL$54:$AX$54),IF($U18="水道メーター",LOOKUP($I17,◆入力◆⑤「4個同時放水」計算!$AL$69:$AQ$69,◆入力◆⑤「4個同時放水」計算!$AL$70:$AQ$70),IF($U18="止水栓",LOOKUP($I17,◆入力◆⑤「4個同時放水」計算!$AL$69:$AQ$69,◆入力◆⑤「4個同時放水」計算!$AL$71:$AQ$71),IF($U18="分水栓",LOOKUP($I17,◆入力◆⑤「4個同時放水」計算!$AL$69:$AQ$69,◆入力◆⑤「4個同時放水」計算!$AL$72:$AQ$72),IF($U18="巻き出しフレキ",LOOKUP($I17,◆入力◆⑤「4個同時放水」計算!$AL$69:$AQ$69,◆入力◆⑤「4個同時放水」計算!$AL$73:$AQ$73),IF($U18="",0,0)))))))</f>
        <v>0</v>
      </c>
      <c r="AI18" s="90">
        <f>IF($U18="仕切弁",LOOKUP($I17,◆入力◆⑤「4個同時放水」計算!$AL$59:$AX$59,◆入力◆⑤「4個同時放水」計算!$AL$64:$AX$64),IF($U18="逆止弁",LOOKUP($I17,◆入力◆⑤「4個同時放水」計算!$AL$59:$AX$59,◆入力◆⑤「4個同時放水」計算!$AL$65:$AX$65),IF($U18="水道メーター",LOOKUP($I17,◆入力◆⑤「4個同時放水」計算!$AL$69:$AQ$69,◆入力◆⑤「4個同時放水」計算!$AL$70:$AQ$70),IF($U18="止水栓",LOOKUP($I17,◆入力◆⑤「4個同時放水」計算!$AL$69:$AQ$69,◆入力◆⑤「4個同時放水」計算!$AL$71:$AQ$71),IF($U18="分水栓",LOOKUP($I17,◆入力◆⑤「4個同時放水」計算!$AL$69:$AQ$69,◆入力◆⑤「4個同時放水」計算!$AL$72:$AQ$72),IF($U18="巻き出しフレキ",LOOKUP($I17,◆入力◆⑤「4個同時放水」計算!$AL$69:$AQ$69,◆入力◆⑤「4個同時放水」計算!$AL$73:$AQ$73),IF($U18="",0,0)))))))</f>
        <v>0</v>
      </c>
      <c r="AJ18" s="144"/>
      <c r="AK18" s="57" t="s">
        <v>38</v>
      </c>
      <c r="AL18" s="63">
        <v>2.7</v>
      </c>
      <c r="AM18" s="63">
        <v>2.9</v>
      </c>
      <c r="AN18" s="63">
        <v>1.9</v>
      </c>
      <c r="AO18" s="63">
        <v>2</v>
      </c>
      <c r="AP18" s="63">
        <v>1.2</v>
      </c>
      <c r="AQ18" s="63">
        <v>1.2</v>
      </c>
      <c r="AR18" s="63"/>
      <c r="AS18" s="63"/>
      <c r="AT18" s="63"/>
      <c r="AU18" s="63"/>
      <c r="AV18" s="102"/>
      <c r="AW18" s="102"/>
      <c r="AX18" s="102"/>
      <c r="AY18" s="40"/>
      <c r="BB18" s="50"/>
    </row>
    <row r="19" spans="6:72" x14ac:dyDescent="0.15">
      <c r="F19" s="235" t="s">
        <v>24</v>
      </c>
      <c r="G19" s="40"/>
      <c r="H19" s="169"/>
      <c r="I19" s="189" t="str">
        <f>IF(H19="","",◆入力◆①配管容量!$M$3)</f>
        <v/>
      </c>
      <c r="J19" s="40"/>
      <c r="K19" s="94"/>
      <c r="L19" s="95"/>
      <c r="M19" s="96"/>
      <c r="N19" s="85"/>
      <c r="O19" s="77" t="str">
        <f>IF(I20="","","E９０°")</f>
        <v/>
      </c>
      <c r="P19" s="173"/>
      <c r="Q19" s="78">
        <f>IF(I20=0,0,IF(I19="SGP-VB",LOOKUP(I20,◆入力◆⑤「4個同時放水」計算!$AL$4:$AX$4,◆入力◆⑤「4個同時放水」計算!$AL$6:$AX$6),IF(I19="SGP-PB",LOOKUP(I20,◆入力◆⑤「4個同時放水」計算!$AL$15:$AX$15,◆入力◆⑤「4個同時放水」計算!$AL$17:$AX$17),IF(I19="HIVP",LOOKUP(I20,◆入力◆⑤「4個同時放水」計算!$AL$26:$AX$26,◆入力◆⑤「4個同時放水」計算!$AL$28:$AX$28),IF(OR(I19="SGP",I19="フレキ"),LOOKUP(I20,◆入力◆⑤「4個同時放水」計算!$AL$37:$AX$37,◆入力◆⑤「4個同時放水」計算!$AL$39:$AX$39),IF(I19="SUS",LOOKUP(I20,◆入力◆⑤「4個同時放水」計算!$AL$48:$AX$48,◆入力◆⑤「4個同時放水」計算!$AL$50:$AX$50),IF(OR(I19="PE",I19="PP"),LOOKUP(I20,◆入力◆⑤「4個同時放水」計算!$AL$59:$AX$59,◆入力◆⑤「4個同時放水」計算!$AL$61:$AX$61))))))))</f>
        <v>0</v>
      </c>
      <c r="R19" s="79">
        <f t="shared" si="0"/>
        <v>0</v>
      </c>
      <c r="S19" s="80"/>
      <c r="T19" s="81">
        <v>0</v>
      </c>
      <c r="U19" s="176"/>
      <c r="V19" s="173"/>
      <c r="W19" s="82">
        <f>IF($U19="Yスト",AC19,IF($I19="sgp-vb",AD19,IF($I19="sgp-pb",AE19,IF($I19="hivp",AF19,IF(OR($I19="sgp",$I19="フレキ"),AG19,IF($I19="sus",AH19,IF(OR($I19="PE",$I19="PP"),AI19,0)))))))</f>
        <v>0</v>
      </c>
      <c r="X19" s="79">
        <f t="shared" si="1"/>
        <v>0</v>
      </c>
      <c r="Y19" s="80"/>
      <c r="Z19" s="84">
        <f t="shared" ref="Z19" si="8">IF(AND($U19="電動弁",$V19=1),LOOKUP($K20,$AL$76:$BQ$76,$AL$77:$BQ$77),IF(AND($U19="逆流防止装置E",$V19=1),LOOKUP($I20,$AN$105:$AQ$105,$AN115:$AQ115),IF(AND($U19="逆流防止装置K",$V19=1),LOOKUP($I20,$AN$105:$AQ$105,$AN116:$AQ116),IF(AND($U19="逆流防止装置T",$V19=1),LOOKUP($I20,$AN$105:$AQ$105,$AN117:$AQ117),0))))</f>
        <v>0</v>
      </c>
      <c r="AA19" s="40"/>
      <c r="AB19" s="76"/>
      <c r="AC19" s="86">
        <f>IF(U19="Yスト",IF(I19="SGP-VB",LOOKUP(I20,◆入力◆⑤「4個同時放水」計算!$AL$4:$AX$4,◆入力◆⑤「4個同時放水」計算!$AL$11:$AX$11),IF(I19="SGP-PB",LOOKUP(I20,◆入力◆⑤「4個同時放水」計算!$AL$15:$AX$15,◆入力◆⑤「4個同時放水」計算!$AL$22:$AX$22),IF(I19="HIVP",LOOKUP(I20,◆入力◆⑤「4個同時放水」計算!$AL$26:$AX$26,◆入力◆⑤「4個同時放水」計算!$AL$33:$AX$33),IF(OR(I19="SGP",I19="フレキ"),LOOKUP(I20,◆入力◆⑤「4個同時放水」計算!$AL$37:$AX$37,◆入力◆⑤「4個同時放水」計算!$AL$44:$AX$44),IF(I19="SUS",LOOKUP(I20,◆入力◆⑤「4個同時放水」計算!$AL$48:$AX$48,◆入力◆⑤「4個同時放水」計算!$AL$55:$AX$55),IF(OR(I19="PE",I19="PP"),LOOKUP(I20,◆入力◆⑤「4個同時放水」計算!$AL$59:$AX$59,◆入力◆⑤「4個同時放水」計算!$AL$66:$AX$66))))))),0)</f>
        <v>0</v>
      </c>
      <c r="AD19" s="86">
        <f>IF($U19="仕切弁",LOOKUP($I20,◆入力◆⑤「4個同時放水」計算!$AL$4:$AX$4,◆入力◆⑤「4個同時放水」計算!$AL$9:$AX$9),IF($U19="逆止弁",LOOKUP($I20,◆入力◆⑤「4個同時放水」計算!$AL$4:$AX$4,◆入力◆⑤「4個同時放水」計算!$AL$10:$AX$10),IF($U19="水道メーター",LOOKUP($I20,◆入力◆⑤「4個同時放水」計算!$AL$69:$AQ$69,◆入力◆⑤「4個同時放水」計算!$AL$70:$AQ$70),IF($U19="止水栓",LOOKUP($I20,◆入力◆⑤「4個同時放水」計算!$AL$69:$AQ$69,◆入力◆⑤「4個同時放水」計算!$AL$71:$AQ$71),IF($U19="分水栓",LOOKUP($I20,◆入力◆⑤「4個同時放水」計算!$AL$69:$AQ$69,◆入力◆⑤「4個同時放水」計算!$AL$72:$AQ$72),IF($U19="巻き出しフレキ",LOOKUP($I20,◆入力◆⑤「4個同時放水」計算!$AL$69:$AQ$69,◆入力◆⑤「4個同時放水」計算!$AL$73:$AQ$73),IF($U19="",0,0)))))))</f>
        <v>0</v>
      </c>
      <c r="AE19" s="86">
        <f>IF($U19="仕切弁",LOOKUP($I20,◆入力◆⑤「4個同時放水」計算!$AL$15:$AX$15,◆入力◆⑤「4個同時放水」計算!$AL$20:$AX$20),IF($U19="逆止弁",LOOKUP($I20,◆入力◆⑤「4個同時放水」計算!$AL$15:$AX$15,◆入力◆⑤「4個同時放水」計算!$AL$21:$AX$21),IF($U19="水道メーター",LOOKUP($I20,◆入力◆⑤「4個同時放水」計算!$AL$69:$AQ$69,◆入力◆⑤「4個同時放水」計算!$AL$70:$AQ$70),IF($U19="止水栓",LOOKUP($I20,◆入力◆⑤「4個同時放水」計算!$AL$69:$AQ$69,◆入力◆⑤「4個同時放水」計算!$AL$71:$AQ$71),IF($U19="分水栓",LOOKUP($I20,◆入力◆⑤「4個同時放水」計算!$AL$69:$AQ$69,◆入力◆⑤「4個同時放水」計算!$AL$72:$AQ$72),IF($U19="巻き出しフレキ",LOOKUP($I20,◆入力◆⑤「4個同時放水」計算!$AL$69:$AQ$69,◆入力◆⑤「4個同時放水」計算!$AL$73:$AQ$73),IF($U19="",0,0)))))))</f>
        <v>0</v>
      </c>
      <c r="AF19" s="86">
        <f>IF($U19="仕切弁",LOOKUP($I20,◆入力◆⑤「4個同時放水」計算!$AL$26:$AX$26,◆入力◆⑤「4個同時放水」計算!$AL$31:$AX$31),IF($U19="逆止弁",LOOKUP($I20,◆入力◆⑤「4個同時放水」計算!$AL$26:$AX$26,◆入力◆⑤「4個同時放水」計算!$AL$32:$AX$32),IF($U19="水道メーター",LOOKUP($I20,◆入力◆⑤「4個同時放水」計算!$AL$69:$AQ$69,◆入力◆⑤「4個同時放水」計算!$AL$70:$AQ$70),IF($U19="止水栓",LOOKUP($I20,◆入力◆⑤「4個同時放水」計算!$AL$69:$AQ$69,◆入力◆⑤「4個同時放水」計算!$AL$71:$AQ$71),IF($U19="分水栓",LOOKUP($I20,◆入力◆⑤「4個同時放水」計算!$AL$69:$AQ$69,◆入力◆⑤「4個同時放水」計算!$AL$72:$AQ$72),IF($U19="巻き出しフレキ",LOOKUP($I20,◆入力◆⑤「4個同時放水」計算!$AL$69:$AQ$69,◆入力◆⑤「4個同時放水」計算!$AL$73:$AQ$73),IF($U19="",0,0)))))))</f>
        <v>0</v>
      </c>
      <c r="AG19" s="86">
        <f>IF($U19="仕切弁",LOOKUP($I20,◆入力◆⑤「4個同時放水」計算!$AL$37:$AX$37,◆入力◆⑤「4個同時放水」計算!$AL$42:$AX$42),IF($U19="逆止弁",LOOKUP($I20,◆入力◆⑤「4個同時放水」計算!$AL$37:$AX$37,◆入力◆⑤「4個同時放水」計算!$AL$43:$AX$43),IF($U19="水道メーター",LOOKUP($I20,◆入力◆⑤「4個同時放水」計算!$AL$69:$AQ$69,◆入力◆⑤「4個同時放水」計算!$AL$70:$AQ$70),IF($U19="止水栓",LOOKUP($I20,◆入力◆⑤「4個同時放水」計算!$AL$69:$AQ$69,◆入力◆⑤「4個同時放水」計算!$AL$71:$AQ$71),IF($U19="分水栓",LOOKUP($I20,◆入力◆⑤「4個同時放水」計算!$AL$69:$AQ$69,◆入力◆⑤「4個同時放水」計算!$AL$72:$AQ$72),IF($U19="巻き出しフレキ",LOOKUP($I20,◆入力◆⑤「4個同時放水」計算!$AL$69:$AQ$69,◆入力◆⑤「4個同時放水」計算!$AL$73:$AQ$73),IF($U19="",0,0)))))))</f>
        <v>0</v>
      </c>
      <c r="AH19" s="86">
        <f>IF($U19="仕切弁",LOOKUP($I20,◆入力◆⑤「4個同時放水」計算!$AL$48:$AX$48,◆入力◆⑤「4個同時放水」計算!$AL$53:$AX$53),IF($U19="逆止弁",LOOKUP($I20,◆入力◆⑤「4個同時放水」計算!$AL$48:$AX$48,◆入力◆⑤「4個同時放水」計算!$AL$54:$AX$54),IF($U19="水道メーター",LOOKUP($I20,◆入力◆⑤「4個同時放水」計算!$AL$69:$AQ$69,◆入力◆⑤「4個同時放水」計算!$AL$70:$AQ$70),IF($U19="止水栓",LOOKUP($I20,◆入力◆⑤「4個同時放水」計算!$AL$69:$AQ$69,◆入力◆⑤「4個同時放水」計算!$AL$71:$AQ$71),IF($U19="分水栓",LOOKUP($I20,◆入力◆⑤「4個同時放水」計算!$AL$69:$AQ$69,◆入力◆⑤「4個同時放水」計算!$AL$72:$AQ$72),IF($U19="巻き出しフレキ",LOOKUP($I20,◆入力◆⑤「4個同時放水」計算!$AL$69:$AQ$69,◆入力◆⑤「4個同時放水」計算!$AL$73:$AQ$73),IF($U19="",0,0)))))))</f>
        <v>0</v>
      </c>
      <c r="AI19" s="86">
        <f>IF($U19="仕切弁",LOOKUP($I20,◆入力◆⑤「4個同時放水」計算!$AL$59:$AX$59,◆入力◆⑤「4個同時放水」計算!$AL$64:$AX$64),IF($U19="逆止弁",LOOKUP($I20,◆入力◆⑤「4個同時放水」計算!$AL$59:$AX$59,◆入力◆⑤「4個同時放水」計算!$AL$65:$AX$65),IF($U19="水道メーター",LOOKUP($I20,◆入力◆⑤「4個同時放水」計算!$AL$69:$AQ$69,◆入力◆⑤「4個同時放水」計算!$AL$70:$AQ$70),IF($U19="止水栓",LOOKUP($I20,◆入力◆⑤「4個同時放水」計算!$AL$69:$AQ$69,◆入力◆⑤「4個同時放水」計算!$AL$71:$AQ$71),IF($U19="分水栓",LOOKUP($I20,◆入力◆⑤「4個同時放水」計算!$AL$69:$AQ$69,◆入力◆⑤「4個同時放水」計算!$AL$72:$AQ$72),IF($U19="巻き出しフレキ",LOOKUP($I20,◆入力◆⑤「4個同時放水」計算!$AL$69:$AQ$69,◆入力◆⑤「4個同時放水」計算!$AL$73:$AQ$73),IF($U19="",0,0)))))))</f>
        <v>0</v>
      </c>
      <c r="AJ19" s="115"/>
      <c r="AK19" s="57" t="s">
        <v>5</v>
      </c>
      <c r="AL19" s="63">
        <v>8.3000000000000007</v>
      </c>
      <c r="AM19" s="63">
        <v>6.7</v>
      </c>
      <c r="AN19" s="63">
        <v>5.2</v>
      </c>
      <c r="AO19" s="63">
        <v>5.6</v>
      </c>
      <c r="AP19" s="63">
        <v>4.8</v>
      </c>
      <c r="AQ19" s="63">
        <v>4.4000000000000004</v>
      </c>
      <c r="AR19" s="103"/>
      <c r="AS19" s="103"/>
      <c r="AT19" s="103"/>
      <c r="AU19" s="103"/>
      <c r="AV19" s="102"/>
      <c r="AW19" s="102"/>
      <c r="AX19" s="102"/>
      <c r="AY19" s="40"/>
      <c r="AZ19" s="40"/>
      <c r="BA19" s="40"/>
      <c r="BB19" s="180"/>
      <c r="BC19" s="40"/>
      <c r="BD19" s="40"/>
      <c r="BE19" s="40"/>
      <c r="BF19" s="40"/>
      <c r="BG19" s="40"/>
      <c r="BK19" s="40"/>
      <c r="BL19" s="40"/>
      <c r="BM19" s="40"/>
      <c r="BN19" s="40"/>
      <c r="BO19" s="40"/>
      <c r="BP19" s="40"/>
      <c r="BQ19" s="40"/>
      <c r="BR19" s="40"/>
      <c r="BS19" s="40"/>
      <c r="BT19" s="40"/>
    </row>
    <row r="20" spans="6:72" x14ac:dyDescent="0.15">
      <c r="F20" s="235"/>
      <c r="G20" s="40"/>
      <c r="H20" s="186">
        <f>IF(H19=4,"④－⑤",IF(H19=3,"③－④",0))</f>
        <v>0</v>
      </c>
      <c r="I20" s="170"/>
      <c r="J20" s="40"/>
      <c r="K20" s="171" t="str">
        <f>IF(I20="","",K17)</f>
        <v/>
      </c>
      <c r="L20" s="74">
        <f>IF(I20="",0,IF(I20&gt;=65,K20^1.85*0.012/I21^4.87,ROUNDUP((0.0126+(0.01739-(0.1087*I21/100))/SQRT(4*K20/(60000*PI()*(I21/100)^2)))*(1/(I21/100))*((4*K20/(60000*PI()*(I21/100)^2))^2/(2*9.8)),4)))</f>
        <v>0</v>
      </c>
      <c r="M20" s="172"/>
      <c r="N20" s="84">
        <f>ROUNDUP(L20*M20,2)</f>
        <v>0</v>
      </c>
      <c r="O20" s="87" t="str">
        <f>IF(I20="","","Ｔ直")</f>
        <v/>
      </c>
      <c r="P20" s="174"/>
      <c r="Q20" s="88">
        <f>IF(I20=0,0,IF(I19="SGP-VB",LOOKUP(I20,◆入力◆⑤「4個同時放水」計算!$AL$4:$AX$4,◆入力◆⑤「4個同時放水」計算!$AL$7:$AX$7),IF(I19="SGP-PB",LOOKUP(I20,◆入力◆⑤「4個同時放水」計算!$AL$15:$AX$15,◆入力◆⑤「4個同時放水」計算!$AL$18:$AX$18),IF(I19="HIVP",LOOKUP(I20,◆入力◆⑤「4個同時放水」計算!$AL$26:$AX$26,◆入力◆⑤「4個同時放水」計算!$AL$29:$AX$29),IF(OR(I19="SGP",I19="フレキ"),LOOKUP(I20,◆入力◆⑤「4個同時放水」計算!$AL$37:$AX$37,◆入力◆⑤「4個同時放水」計算!$AL$40:$AX$40),IF(I19="SUS",LOOKUP(I20,◆入力◆⑤「4個同時放水」計算!$AL$48:$AX$48,◆入力◆⑤「4個同時放水」計算!$AL$51:$AX$51),IF(OR(I19="PE",I19="PP"),LOOKUP(I20,◆入力◆⑤「4個同時放水」計算!$AL$59:$AX$59,◆入力◆⑤「4個同時放水」計算!$AL$62:$AX$62))))))))</f>
        <v>0</v>
      </c>
      <c r="R20" s="82">
        <f t="shared" si="0"/>
        <v>0</v>
      </c>
      <c r="S20" s="83">
        <f>R19+R20+R21</f>
        <v>0</v>
      </c>
      <c r="T20" s="84">
        <f>ROUNDUP(L20*S20,2)</f>
        <v>0</v>
      </c>
      <c r="U20" s="177"/>
      <c r="V20" s="174"/>
      <c r="W20" s="82">
        <f>IF($U20="Yスト",AC20,IF($I19="sgp-vb",AD20,IF($I19="sgp-pb",AE20,IF($I19="hivp",AF20,IF(OR($I19="sgp",$I19="フレキ"),AG20,IF($I19="sus",AH20,IF(OR($I19="PE",$I19="PP"),AI20,0)))))))</f>
        <v>0</v>
      </c>
      <c r="X20" s="82">
        <f t="shared" si="1"/>
        <v>0</v>
      </c>
      <c r="Y20" s="83">
        <f>SUM(X19:X21)</f>
        <v>0</v>
      </c>
      <c r="Z20" s="84">
        <f t="shared" ref="Z20" si="9">IF(AND($U20="電動弁",$V20=1),LOOKUP($K20,$AL$76:$BQ$76,$AL$77:$BQ$77),IF(AND($U20="逆流防止装置E",$V20=1),LOOKUP($I20,$AN$105:$AQ$105,$AN115:$AQ115),IF(AND($U20="逆流防止装置K",$V20=1),LOOKUP($I20,$AN$105:$AQ$105,$AN116:$AQ116),IF(AND($U20="逆流防止装置T",$V20=1),LOOKUP($I20,$AN$105:$AQ$105,$AN117:$AQ117),0))))</f>
        <v>0</v>
      </c>
      <c r="AA20" s="40"/>
      <c r="AB20" s="84">
        <f>N20+T20+Z19+Z20+Z21</f>
        <v>0</v>
      </c>
      <c r="AC20" s="89">
        <f>IF(U20="Yスト",IF(I19="SGP-VB",LOOKUP(I20,◆入力◆⑤「4個同時放水」計算!$AL$4:$AX$4,◆入力◆⑤「4個同時放水」計算!$AL$11:$AX$11),IF(I19="SGP-PB",LOOKUP(I20,◆入力◆⑤「4個同時放水」計算!$AL$15:$AX$15,◆入力◆⑤「4個同時放水」計算!$AL$22:$AX$22),IF(I19="HIVP",LOOKUP(I20,◆入力◆⑤「4個同時放水」計算!$AL$26:$AX$26,◆入力◆⑤「4個同時放水」計算!$AL$33:$AX$33),IF(OR(I19="SGP",I19="フレキ"),LOOKUP(I20,◆入力◆⑤「4個同時放水」計算!$AL$37:$AX$37,◆入力◆⑤「4個同時放水」計算!$AL$44:$AX$44),IF(I19="SUS",LOOKUP(I20,◆入力◆⑤「4個同時放水」計算!$AL$48:$AX$48,◆入力◆⑤「4個同時放水」計算!$AL$55:$AX$55),IF(OR(I19="PE",I19="PP"),LOOKUP(I20,◆入力◆⑤「4個同時放水」計算!$AL$59:$AX$59,◆入力◆⑤「4個同時放水」計算!$AL$66:$AX$66))))))),0)</f>
        <v>0</v>
      </c>
      <c r="AD20" s="90">
        <f>IF($U20="仕切弁",LOOKUP($I20,◆入力◆⑤「4個同時放水」計算!$AL$4:$AX$4,◆入力◆⑤「4個同時放水」計算!$AL$9:$AX$9),IF($U20="逆止弁",LOOKUP($I20,◆入力◆⑤「4個同時放水」計算!$AL$4:$AX$4,◆入力◆⑤「4個同時放水」計算!$AL$10:$AX$10),IF($U20="水道メーター",LOOKUP($I20,◆入力◆⑤「4個同時放水」計算!$AL$69:$AQ$69,◆入力◆⑤「4個同時放水」計算!$AL$70:$AQ$70),IF($U20="止水栓",LOOKUP($I20,◆入力◆⑤「4個同時放水」計算!$AL$69:$AQ$69,◆入力◆⑤「4個同時放水」計算!$AL$71:$AQ$71),IF($U20="分水栓",LOOKUP($I20,◆入力◆⑤「4個同時放水」計算!$AL$69:$AQ$69,◆入力◆⑤「4個同時放水」計算!$AL$72:$AQ$72),IF($U20="巻き出しフレキ",LOOKUP($I20,◆入力◆⑤「4個同時放水」計算!$AL$69:$AQ$69,◆入力◆⑤「4個同時放水」計算!$AL$73:$AQ$73),IF($U20="",0,0)))))))</f>
        <v>0</v>
      </c>
      <c r="AE20" s="90">
        <f>IF($U20="仕切弁",LOOKUP($I20,◆入力◆⑤「4個同時放水」計算!$AL$15:$AX$15,◆入力◆⑤「4個同時放水」計算!$AL$20:$AX$20),IF($U20="逆止弁",LOOKUP($I20,◆入力◆⑤「4個同時放水」計算!$AL$15:$AX$15,◆入力◆⑤「4個同時放水」計算!$AL$21:$AX$21),IF($U20="水道メーター",LOOKUP($I20,◆入力◆⑤「4個同時放水」計算!$AL$69:$AQ$69,◆入力◆⑤「4個同時放水」計算!$AL$70:$AQ$70),IF($U20="止水栓",LOOKUP($I20,◆入力◆⑤「4個同時放水」計算!$AL$69:$AQ$69,◆入力◆⑤「4個同時放水」計算!$AL$71:$AQ$71),IF($U20="分水栓",LOOKUP($I20,◆入力◆⑤「4個同時放水」計算!$AL$69:$AQ$69,◆入力◆⑤「4個同時放水」計算!$AL$72:$AQ$72),IF($U20="巻き出しフレキ",LOOKUP($I20,◆入力◆⑤「4個同時放水」計算!$AL$69:$AQ$69,◆入力◆⑤「4個同時放水」計算!$AL$73:$AQ$73),IF($U20="",0,0)))))))</f>
        <v>0</v>
      </c>
      <c r="AF20" s="90">
        <f>IF($U20="仕切弁",LOOKUP($I20,◆入力◆⑤「4個同時放水」計算!$AL$26:$AX$26,◆入力◆⑤「4個同時放水」計算!$AL$31:$AX$31),IF($U20="逆止弁",LOOKUP($I20,◆入力◆⑤「4個同時放水」計算!$AL$26:$AX$26,◆入力◆⑤「4個同時放水」計算!$AL$32:$AX$32),IF($U20="水道メーター",LOOKUP($I20,◆入力◆⑤「4個同時放水」計算!$AL$69:$AQ$69,◆入力◆⑤「4個同時放水」計算!$AL$70:$AQ$70),IF($U20="止水栓",LOOKUP($I20,◆入力◆⑤「4個同時放水」計算!$AL$69:$AQ$69,◆入力◆⑤「4個同時放水」計算!$AL$71:$AQ$71),IF($U20="分水栓",LOOKUP($I20,◆入力◆⑤「4個同時放水」計算!$AL$69:$AQ$69,◆入力◆⑤「4個同時放水」計算!$AL$72:$AQ$72),IF($U20="巻き出しフレキ",LOOKUP($I20,◆入力◆⑤「4個同時放水」計算!$AL$69:$AQ$69,◆入力◆⑤「4個同時放水」計算!$AL$73:$AQ$73),IF($U20="",0,0)))))))</f>
        <v>0</v>
      </c>
      <c r="AG20" s="90">
        <f>IF($U20="仕切弁",LOOKUP($I20,◆入力◆⑤「4個同時放水」計算!$AL$37:$AX$37,◆入力◆⑤「4個同時放水」計算!$AL$42:$AX$42),IF($U20="逆止弁",LOOKUP($I20,◆入力◆⑤「4個同時放水」計算!$AL$37:$AX$37,◆入力◆⑤「4個同時放水」計算!$AL$43:$AX$43),IF($U20="水道メーター",LOOKUP($I20,◆入力◆⑤「4個同時放水」計算!$AL$69:$AQ$69,◆入力◆⑤「4個同時放水」計算!$AL$70:$AQ$70),IF($U20="止水栓",LOOKUP($I20,◆入力◆⑤「4個同時放水」計算!$AL$69:$AQ$69,◆入力◆⑤「4個同時放水」計算!$AL$71:$AQ$71),IF($U20="分水栓",LOOKUP($I20,◆入力◆⑤「4個同時放水」計算!$AL$69:$AQ$69,◆入力◆⑤「4個同時放水」計算!$AL$72:$AQ$72),IF($U20="巻き出しフレキ",LOOKUP($I20,◆入力◆⑤「4個同時放水」計算!$AL$69:$AQ$69,◆入力◆⑤「4個同時放水」計算!$AL$73:$AQ$73),IF($U20="",0,0)))))))</f>
        <v>0</v>
      </c>
      <c r="AH20" s="90">
        <f>IF($U20="仕切弁",LOOKUP($I20,◆入力◆⑤「4個同時放水」計算!$AL$48:$AX$48,◆入力◆⑤「4個同時放水」計算!$AL$53:$AX$53),IF($U20="逆止弁",LOOKUP($I20,◆入力◆⑤「4個同時放水」計算!$AL$48:$AX$48,◆入力◆⑤「4個同時放水」計算!$AL$54:$AX$54),IF($U20="水道メーター",LOOKUP($I20,◆入力◆⑤「4個同時放水」計算!$AL$69:$AQ$69,◆入力◆⑤「4個同時放水」計算!$AL$70:$AQ$70),IF($U20="止水栓",LOOKUP($I20,◆入力◆⑤「4個同時放水」計算!$AL$69:$AQ$69,◆入力◆⑤「4個同時放水」計算!$AL$71:$AQ$71),IF($U20="分水栓",LOOKUP($I20,◆入力◆⑤「4個同時放水」計算!$AL$69:$AQ$69,◆入力◆⑤「4個同時放水」計算!$AL$72:$AQ$72),IF($U20="巻き出しフレキ",LOOKUP($I20,◆入力◆⑤「4個同時放水」計算!$AL$69:$AQ$69,◆入力◆⑤「4個同時放水」計算!$AL$73:$AQ$73),IF($U20="",0,0)))))))</f>
        <v>0</v>
      </c>
      <c r="AI20" s="90">
        <f>IF($U20="仕切弁",LOOKUP($I20,◆入力◆⑤「4個同時放水」計算!$AL$59:$AX$59,◆入力◆⑤「4個同時放水」計算!$AL$64:$AX$64),IF($U20="逆止弁",LOOKUP($I20,◆入力◆⑤「4個同時放水」計算!$AL$59:$AX$59,◆入力◆⑤「4個同時放水」計算!$AL$65:$AX$65),IF($U20="水道メーター",LOOKUP($I20,◆入力◆⑤「4個同時放水」計算!$AL$69:$AQ$69,◆入力◆⑤「4個同時放水」計算!$AL$70:$AQ$70),IF($U20="止水栓",LOOKUP($I20,◆入力◆⑤「4個同時放水」計算!$AL$69:$AQ$69,◆入力◆⑤「4個同時放水」計算!$AL$71:$AQ$71),IF($U20="分水栓",LOOKUP($I20,◆入力◆⑤「4個同時放水」計算!$AL$69:$AQ$69,◆入力◆⑤「4個同時放水」計算!$AL$72:$AQ$72),IF($U20="巻き出しフレキ",LOOKUP($I20,◆入力◆⑤「4個同時放水」計算!$AL$69:$AQ$69,◆入力◆⑤「4個同時放水」計算!$AL$73:$AQ$73),IF($U20="",0,0)))))))</f>
        <v>0</v>
      </c>
      <c r="AJ20" s="115"/>
      <c r="AK20" s="57" t="s">
        <v>6</v>
      </c>
      <c r="AL20" s="63">
        <v>7.7</v>
      </c>
      <c r="AM20" s="63">
        <v>4.0999999999999996</v>
      </c>
      <c r="AN20" s="63">
        <v>2.7</v>
      </c>
      <c r="AO20" s="63">
        <v>1.8</v>
      </c>
      <c r="AP20" s="63">
        <v>2.2999999999999998</v>
      </c>
      <c r="AQ20" s="63">
        <v>2.4</v>
      </c>
      <c r="AR20" s="103"/>
      <c r="AS20" s="103"/>
      <c r="AT20" s="103"/>
      <c r="AU20" s="103"/>
      <c r="AV20" s="102"/>
      <c r="AW20" s="102"/>
      <c r="AX20" s="102"/>
      <c r="AY20" s="40"/>
      <c r="AZ20" s="40"/>
      <c r="BA20" s="40"/>
      <c r="BB20" s="180"/>
      <c r="BC20" s="40"/>
      <c r="BD20" s="40"/>
      <c r="BE20" s="40"/>
      <c r="BF20" s="40"/>
      <c r="BG20" s="40"/>
      <c r="BK20" s="40"/>
      <c r="BL20" s="40"/>
      <c r="BM20" s="40"/>
      <c r="BN20" s="40"/>
      <c r="BO20" s="40"/>
      <c r="BP20" s="40"/>
      <c r="BQ20" s="40"/>
      <c r="BR20" s="40"/>
      <c r="BS20" s="40"/>
      <c r="BT20" s="40"/>
    </row>
    <row r="21" spans="6:72" x14ac:dyDescent="0.15">
      <c r="F21" s="235"/>
      <c r="G21" s="40"/>
      <c r="H21" s="149"/>
      <c r="I21" s="91">
        <f>IF(I20="",0,IF(I19="SGP-VB",LOOKUP(I20,◆入力◆⑤「4個同時放水」計算!$AL$4:$AX$4,◆入力◆⑤「4個同時放水」計算!$AL$5:$AX$5),IF(I19="SGP-PB",LOOKUP(I20,◆入力◆⑤「4個同時放水」計算!$AL$15:$AX$15,◆入力◆⑤「4個同時放水」計算!$AL$16:$AX$16),IF(I19="HIVP",LOOKUP(I20,◆入力◆⑤「4個同時放水」計算!$AL$26:$AX$26,◆入力◆⑤「4個同時放水」計算!$AL$27:$AX$27),IF(OR(I19="SGP",I19="フレキ"),LOOKUP(I20,◆入力◆⑤「4個同時放水」計算!$AL$37:$AX$37,◆入力◆⑤「4個同時放水」計算!$AL$38:$AX$38),IF(I19="SUS",LOOKUP(I20,◆入力◆⑤「4個同時放水」計算!$AL$48:$AX$48,◆入力◆⑤「4個同時放水」計算!$AL$49:$AX$49),IF(OR(I19="PE",I19="PP"),LOOKUP(I20,◆入力◆⑤「4個同時放水」計算!$AL$59:$AX$59,◆入力◆⑤「4個同時放水」計算!$AL$60:$AX$60))))))))</f>
        <v>0</v>
      </c>
      <c r="J21" s="40"/>
      <c r="K21" s="97"/>
      <c r="L21" s="98"/>
      <c r="M21" s="99"/>
      <c r="N21" s="93"/>
      <c r="O21" s="87" t="str">
        <f>IF(I20="","","Ｔ分")</f>
        <v/>
      </c>
      <c r="P21" s="175"/>
      <c r="Q21" s="88">
        <f>IF(I20=0,0,IF(I19="SGP-VB",LOOKUP(I20,◆入力◆⑤「4個同時放水」計算!$AL$4:$AX$4,◆入力◆⑤「4個同時放水」計算!$AL$8:$AX$8),IF(I19="SGP-PB",LOOKUP(I20,◆入力◆⑤「4個同時放水」計算!$AL$15:$AX$15,◆入力◆⑤「4個同時放水」計算!$AL$19:$AX$19),IF(I19="HIVP",LOOKUP(I20,◆入力◆⑤「4個同時放水」計算!$AL$26:$AX$26,◆入力◆⑤「4個同時放水」計算!$AL$30:$AX$30),IF(OR(I19="SGP",I19="フレキ"),LOOKUP(I20,◆入力◆⑤「4個同時放水」計算!$AL$37:$AX$37,◆入力◆⑤「4個同時放水」計算!$AL$41:$AX$41),IF(I19="SUS",LOOKUP(I20,◆入力◆⑤「4個同時放水」計算!$AL$48:$AX$48,◆入力◆⑤「4個同時放水」計算!$AL$52:$AX$52),IF(OR(I19="PE",I19="PP"),LOOKUP(I20,◆入力◆⑤「4個同時放水」計算!$AL$59:$AX$59,◆入力◆⑤「4個同時放水」計算!$AL$63:$AX$63))))))))</f>
        <v>0</v>
      </c>
      <c r="R21" s="100">
        <f t="shared" si="0"/>
        <v>0</v>
      </c>
      <c r="S21" s="101"/>
      <c r="T21" s="92"/>
      <c r="U21" s="178"/>
      <c r="V21" s="175"/>
      <c r="W21" s="100">
        <f>IF($U21="Yスト",AC21,IF($I19="sgp-vb",AD21,IF($I19="sgp-pb",AE21,IF($I19="hivp",AF21,IF(OR($I19="sgp",$I19="フレキ"),AG21,IF($I19="sus",AH21,IF(OR($I19="PE",$I19="PP"),AI21,0)))))))</f>
        <v>0</v>
      </c>
      <c r="X21" s="100">
        <f t="shared" si="1"/>
        <v>0</v>
      </c>
      <c r="Y21" s="101"/>
      <c r="Z21" s="92">
        <f t="shared" ref="Z21" si="10">ROUNDUP(L20*Y20,2)</f>
        <v>0</v>
      </c>
      <c r="AA21" s="40"/>
      <c r="AB21" s="76"/>
      <c r="AC21" s="90">
        <f>IF(U21="Yスト",IF(I19="SGP-VB",LOOKUP(I20,◆入力◆⑤「4個同時放水」計算!$AL$4:$AX$4,◆入力◆⑤「4個同時放水」計算!$AL$11:$AX$11),IF(I19="SGP-PB",LOOKUP(I20,◆入力◆⑤「4個同時放水」計算!$AL$15:$AX$15,◆入力◆⑤「4個同時放水」計算!$AL$22:$AX$22),IF(I19="HIVP",LOOKUP(I20,◆入力◆⑤「4個同時放水」計算!$AL$26:$AX$26,◆入力◆⑤「4個同時放水」計算!$AL$33:$AX$33),IF(OR(I19="SGP",I19="フレキ"),LOOKUP(I20,◆入力◆⑤「4個同時放水」計算!$AL$37:$AX$37,◆入力◆⑤「4個同時放水」計算!$AL$44:$AX$44),IF(I19="SUS",LOOKUP(I20,◆入力◆⑤「4個同時放水」計算!$AL$48:$AX$48,◆入力◆⑤「4個同時放水」計算!$AL$55:$AX$55),IF(OR(I19="PE",I19="PP"),LOOKUP(I20,◆入力◆⑤「4個同時放水」計算!$AL$59:$AX$59,◆入力◆⑤「4個同時放水」計算!$AL$66:$AX$66))))))),0)</f>
        <v>0</v>
      </c>
      <c r="AD21" s="90">
        <f>IF($U21="仕切弁",LOOKUP($I20,◆入力◆⑤「4個同時放水」計算!$AL$4:$AX$4,◆入力◆⑤「4個同時放水」計算!$AL$9:$AX$9),IF($U21="逆止弁",LOOKUP($I20,◆入力◆⑤「4個同時放水」計算!$AL$4:$AX$4,◆入力◆⑤「4個同時放水」計算!$AL$10:$AX$10),IF($U21="水道メーター",LOOKUP($I20,◆入力◆⑤「4個同時放水」計算!$AL$69:$AQ$69,◆入力◆⑤「4個同時放水」計算!$AL$70:$AQ$70),IF($U21="止水栓",LOOKUP($I20,◆入力◆⑤「4個同時放水」計算!$AL$69:$AQ$69,◆入力◆⑤「4個同時放水」計算!$AL$71:$AQ$71),IF($U21="分水栓",LOOKUP($I20,◆入力◆⑤「4個同時放水」計算!$AL$69:$AQ$69,◆入力◆⑤「4個同時放水」計算!$AL$72:$AQ$72),IF($U21="巻き出しフレキ",LOOKUP($I20,◆入力◆⑤「4個同時放水」計算!$AL$69:$AQ$69,◆入力◆⑤「4個同時放水」計算!$AL$73:$AQ$73),IF($U21="",0,0)))))))</f>
        <v>0</v>
      </c>
      <c r="AE21" s="90">
        <f>IF($U21="仕切弁",LOOKUP($I20,◆入力◆⑤「4個同時放水」計算!$AL$15:$AX$15,◆入力◆⑤「4個同時放水」計算!$AL$20:$AX$20),IF($U21="逆止弁",LOOKUP($I20,◆入力◆⑤「4個同時放水」計算!$AL$15:$AX$15,◆入力◆⑤「4個同時放水」計算!$AL$21:$AX$21),IF($U21="水道メーター",LOOKUP($I20,◆入力◆⑤「4個同時放水」計算!$AL$69:$AQ$69,◆入力◆⑤「4個同時放水」計算!$AL$70:$AQ$70),IF($U21="止水栓",LOOKUP($I20,◆入力◆⑤「4個同時放水」計算!$AL$69:$AQ$69,◆入力◆⑤「4個同時放水」計算!$AL$71:$AQ$71),IF($U21="分水栓",LOOKUP($I20,◆入力◆⑤「4個同時放水」計算!$AL$69:$AQ$69,◆入力◆⑤「4個同時放水」計算!$AL$72:$AQ$72),IF($U21="巻き出しフレキ",LOOKUP($I20,◆入力◆⑤「4個同時放水」計算!$AL$69:$AQ$69,◆入力◆⑤「4個同時放水」計算!$AL$73:$AQ$73),IF($U21="",0,0)))))))</f>
        <v>0</v>
      </c>
      <c r="AF21" s="90">
        <f>IF($U21="仕切弁",LOOKUP($I20,◆入力◆⑤「4個同時放水」計算!$AL$26:$AX$26,◆入力◆⑤「4個同時放水」計算!$AL$31:$AX$31),IF($U21="逆止弁",LOOKUP($I20,◆入力◆⑤「4個同時放水」計算!$AL$26:$AX$26,◆入力◆⑤「4個同時放水」計算!$AL$32:$AX$32),IF($U21="水道メーター",LOOKUP($I20,◆入力◆⑤「4個同時放水」計算!$AL$69:$AQ$69,◆入力◆⑤「4個同時放水」計算!$AL$70:$AQ$70),IF($U21="止水栓",LOOKUP($I20,◆入力◆⑤「4個同時放水」計算!$AL$69:$AQ$69,◆入力◆⑤「4個同時放水」計算!$AL$71:$AQ$71),IF($U21="分水栓",LOOKUP($I20,◆入力◆⑤「4個同時放水」計算!$AL$69:$AQ$69,◆入力◆⑤「4個同時放水」計算!$AL$72:$AQ$72),IF($U21="巻き出しフレキ",LOOKUP($I20,◆入力◆⑤「4個同時放水」計算!$AL$69:$AQ$69,◆入力◆⑤「4個同時放水」計算!$AL$73:$AQ$73),IF($U21="",0,0)))))))</f>
        <v>0</v>
      </c>
      <c r="AG21" s="90">
        <f>IF($U21="仕切弁",LOOKUP($I20,◆入力◆⑤「4個同時放水」計算!$AL$37:$AX$37,◆入力◆⑤「4個同時放水」計算!$AL$42:$AX$42),IF($U21="逆止弁",LOOKUP($I20,◆入力◆⑤「4個同時放水」計算!$AL$37:$AX$37,◆入力◆⑤「4個同時放水」計算!$AL$43:$AX$43),IF($U21="水道メーター",LOOKUP($I20,◆入力◆⑤「4個同時放水」計算!$AL$69:$AQ$69,◆入力◆⑤「4個同時放水」計算!$AL$70:$AQ$70),IF($U21="止水栓",LOOKUP($I20,◆入力◆⑤「4個同時放水」計算!$AL$69:$AQ$69,◆入力◆⑤「4個同時放水」計算!$AL$71:$AQ$71),IF($U21="分水栓",LOOKUP($I20,◆入力◆⑤「4個同時放水」計算!$AL$69:$AQ$69,◆入力◆⑤「4個同時放水」計算!$AL$72:$AQ$72),IF($U21="巻き出しフレキ",LOOKUP($I20,◆入力◆⑤「4個同時放水」計算!$AL$69:$AQ$69,◆入力◆⑤「4個同時放水」計算!$AL$73:$AQ$73),IF($U21="",0,0)))))))</f>
        <v>0</v>
      </c>
      <c r="AH21" s="90">
        <f>IF($U21="仕切弁",LOOKUP($I20,◆入力◆⑤「4個同時放水」計算!$AL$48:$AX$48,◆入力◆⑤「4個同時放水」計算!$AL$53:$AX$53),IF($U21="逆止弁",LOOKUP($I20,◆入力◆⑤「4個同時放水」計算!$AL$48:$AX$48,◆入力◆⑤「4個同時放水」計算!$AL$54:$AX$54),IF($U21="水道メーター",LOOKUP($I20,◆入力◆⑤「4個同時放水」計算!$AL$69:$AQ$69,◆入力◆⑤「4個同時放水」計算!$AL$70:$AQ$70),IF($U21="止水栓",LOOKUP($I20,◆入力◆⑤「4個同時放水」計算!$AL$69:$AQ$69,◆入力◆⑤「4個同時放水」計算!$AL$71:$AQ$71),IF($U21="分水栓",LOOKUP($I20,◆入力◆⑤「4個同時放水」計算!$AL$69:$AQ$69,◆入力◆⑤「4個同時放水」計算!$AL$72:$AQ$72),IF($U21="巻き出しフレキ",LOOKUP($I20,◆入力◆⑤「4個同時放水」計算!$AL$69:$AQ$69,◆入力◆⑤「4個同時放水」計算!$AL$73:$AQ$73),IF($U21="",0,0)))))))</f>
        <v>0</v>
      </c>
      <c r="AI21" s="90">
        <f>IF($U21="仕切弁",LOOKUP($I20,◆入力◆⑤「4個同時放水」計算!$AL$59:$AX$59,◆入力◆⑤「4個同時放水」計算!$AL$64:$AX$64),IF($U21="逆止弁",LOOKUP($I20,◆入力◆⑤「4個同時放水」計算!$AL$59:$AX$59,◆入力◆⑤「4個同時放水」計算!$AL$65:$AX$65),IF($U21="水道メーター",LOOKUP($I20,◆入力◆⑤「4個同時放水」計算!$AL$69:$AQ$69,◆入力◆⑤「4個同時放水」計算!$AL$70:$AQ$70),IF($U21="止水栓",LOOKUP($I20,◆入力◆⑤「4個同時放水」計算!$AL$69:$AQ$69,◆入力◆⑤「4個同時放水」計算!$AL$71:$AQ$71),IF($U21="分水栓",LOOKUP($I20,◆入力◆⑤「4個同時放水」計算!$AL$69:$AQ$69,◆入力◆⑤「4個同時放水」計算!$AL$72:$AQ$72),IF($U21="巻き出しフレキ",LOOKUP($I20,◆入力◆⑤「4個同時放水」計算!$AL$69:$AQ$69,◆入力◆⑤「4個同時放水」計算!$AL$73:$AQ$73),IF($U21="",0,0)))))))</f>
        <v>0</v>
      </c>
      <c r="AJ21" s="182"/>
      <c r="AK21" s="57" t="s">
        <v>41</v>
      </c>
      <c r="AL21" s="63">
        <v>12</v>
      </c>
      <c r="AM21" s="63">
        <v>4.8</v>
      </c>
      <c r="AN21" s="63">
        <v>4.5</v>
      </c>
      <c r="AO21" s="63">
        <v>4.5</v>
      </c>
      <c r="AP21" s="63">
        <v>3.5</v>
      </c>
      <c r="AQ21" s="63">
        <v>4.5999999999999996</v>
      </c>
      <c r="AR21" s="103"/>
      <c r="AS21" s="103"/>
      <c r="AT21" s="103"/>
      <c r="AU21" s="103"/>
      <c r="AV21" s="102"/>
      <c r="AW21" s="102"/>
      <c r="AX21" s="102"/>
      <c r="AY21" s="40"/>
      <c r="AZ21" s="40"/>
      <c r="BA21" s="40"/>
      <c r="BB21" s="180"/>
      <c r="BC21" s="40"/>
      <c r="BD21" s="40"/>
      <c r="BE21" s="40"/>
      <c r="BF21" s="40"/>
      <c r="BG21" s="40"/>
      <c r="BK21" s="40"/>
      <c r="BL21" s="40"/>
      <c r="BM21" s="40"/>
      <c r="BN21" s="40"/>
      <c r="BO21" s="40"/>
      <c r="BP21" s="40"/>
      <c r="BQ21" s="40"/>
      <c r="BR21" s="40"/>
      <c r="BS21" s="40"/>
      <c r="BT21" s="40"/>
    </row>
    <row r="22" spans="6:72" x14ac:dyDescent="0.15">
      <c r="F22" s="235" t="s">
        <v>25</v>
      </c>
      <c r="G22" s="40"/>
      <c r="H22" s="168"/>
      <c r="I22" s="189" t="str">
        <f>IF(H22="","",◆入力◆①配管容量!$M$3)</f>
        <v/>
      </c>
      <c r="J22" s="40"/>
      <c r="K22" s="73"/>
      <c r="L22" s="74"/>
      <c r="M22" s="75"/>
      <c r="N22" s="76"/>
      <c r="O22" s="77" t="str">
        <f>IF(I23="","","E９０°")</f>
        <v/>
      </c>
      <c r="P22" s="173"/>
      <c r="Q22" s="78">
        <f>IF(I23=0,0,IF(I22="SGP-VB",LOOKUP(I23,◆入力◆⑤「4個同時放水」計算!$AL$4:$AX$4,◆入力◆⑤「4個同時放水」計算!$AL$6:$AX$6),IF(I22="SGP-PB",LOOKUP(I23,◆入力◆⑤「4個同時放水」計算!$AL$15:$AX$15,◆入力◆⑤「4個同時放水」計算!$AL$17:$AX$17),IF(I22="HIVP",LOOKUP(I23,◆入力◆⑤「4個同時放水」計算!$AL$26:$AX$26,◆入力◆⑤「4個同時放水」計算!$AL$28:$AX$28),IF(OR(I22="SGP",I22="フレキ"),LOOKUP(I23,◆入力◆⑤「4個同時放水」計算!$AL$37:$AX$37,◆入力◆⑤「4個同時放水」計算!$AL$39:$AX$39),IF(I22="SUS",LOOKUP(I23,◆入力◆⑤「4個同時放水」計算!$AL$48:$AX$48,◆入力◆⑤「4個同時放水」計算!$AL$50:$AX$50),IF(OR(I22="PE",I22="PP"),LOOKUP(I23,◆入力◆⑤「4個同時放水」計算!$AL$59:$AX$59,◆入力◆⑤「4個同時放水」計算!$AL$61:$AX$61))))))))</f>
        <v>0</v>
      </c>
      <c r="R22" s="79">
        <f t="shared" si="0"/>
        <v>0</v>
      </c>
      <c r="S22" s="80"/>
      <c r="T22" s="81">
        <v>0</v>
      </c>
      <c r="U22" s="176"/>
      <c r="V22" s="174"/>
      <c r="W22" s="82">
        <f>IF($U22="Yスト",AC22,IF($I22="sgp-vb",AD22,IF($I22="sgp-pb",AE22,IF($I22="hivp",AF22,IF(OR($I22="sgp",$I22="フレキ"),AG22,IF($I22="sus",AH22,IF(OR($I22="PE",$I22="PP"),AI22,0)))))))</f>
        <v>0</v>
      </c>
      <c r="X22" s="82">
        <f t="shared" si="1"/>
        <v>0</v>
      </c>
      <c r="Y22" s="83"/>
      <c r="Z22" s="84">
        <f t="shared" ref="Z22" si="11">IF(AND($U22="電動弁",$V22=1),LOOKUP($K23,$AL$76:$BQ$76,$AL$77:$BQ$77),IF(AND($U22="逆流防止装置E",$V22=1),LOOKUP($I23,$AN$105:$AQ$105,$AN118:$AQ118),IF(AND($U22="逆流防止装置K",$V22=1),LOOKUP($I23,$AN$105:$AQ$105,$AN119:$AQ119),IF(AND($U22="逆流防止装置T",$V22=1),LOOKUP($I23,$AN$105:$AQ$105,$AN120:$AQ120),0))))</f>
        <v>0</v>
      </c>
      <c r="AA22" s="40"/>
      <c r="AB22" s="85"/>
      <c r="AC22" s="86">
        <f>IF(U22="Yスト",IF(I22="SGP-VB",LOOKUP(I23,◆入力◆⑤「4個同時放水」計算!$AL$4:$AX$4,◆入力◆⑤「4個同時放水」計算!$AL$11:$AX$11),IF(I22="SGP-PB",LOOKUP(I23,◆入力◆⑤「4個同時放水」計算!$AL$15:$AX$15,◆入力◆⑤「4個同時放水」計算!$AL$22:$AX$22),IF(I22="HIVP",LOOKUP(I23,◆入力◆⑤「4個同時放水」計算!$AL$26:$AX$26,◆入力◆⑤「4個同時放水」計算!$AL$33:$AX$33),IF(OR(I22="SGP",I22="フレキ"),LOOKUP(I23,◆入力◆⑤「4個同時放水」計算!$AL$37:$AX$37,◆入力◆⑤「4個同時放水」計算!$AL$44:$AX$44),IF(I22="SUS",LOOKUP(I23,◆入力◆⑤「4個同時放水」計算!$AL$48:$AX$48,◆入力◆⑤「4個同時放水」計算!$AL$55:$AX$55),IF(OR(I22="PE",I22="PP"),LOOKUP(I23,◆入力◆⑤「4個同時放水」計算!$AL$59:$AX$59,◆入力◆⑤「4個同時放水」計算!$AL$66:$AX$66))))))),0)</f>
        <v>0</v>
      </c>
      <c r="AD22" s="86">
        <f>IF($U22="仕切弁",LOOKUP($I23,◆入力◆⑤「4個同時放水」計算!$AL$4:$AX$4,◆入力◆⑤「4個同時放水」計算!$AL$9:$AX$9),IF($U22="逆止弁",LOOKUP($I23,◆入力◆⑤「4個同時放水」計算!$AL$4:$AX$4,◆入力◆⑤「4個同時放水」計算!$AL$10:$AX$10),IF($U22="水道メーター",LOOKUP($I23,◆入力◆⑤「4個同時放水」計算!$AL$69:$AQ$69,◆入力◆⑤「4個同時放水」計算!$AL$70:$AQ$70),IF($U22="止水栓",LOOKUP($I23,◆入力◆⑤「4個同時放水」計算!$AL$69:$AQ$69,◆入力◆⑤「4個同時放水」計算!$AL$71:$AQ$71),IF($U22="分水栓",LOOKUP($I23,◆入力◆⑤「4個同時放水」計算!$AL$69:$AQ$69,◆入力◆⑤「4個同時放水」計算!$AL$72:$AQ$72),IF($U22="巻き出しフレキ",LOOKUP($I23,◆入力◆⑤「4個同時放水」計算!$AL$69:$AQ$69,◆入力◆⑤「4個同時放水」計算!$AL$73:$AQ$73),IF($U22="",0,0)))))))</f>
        <v>0</v>
      </c>
      <c r="AE22" s="86">
        <f>IF($U22="仕切弁",LOOKUP($I23,◆入力◆⑤「4個同時放水」計算!$AL$15:$AX$15,◆入力◆⑤「4個同時放水」計算!$AL$20:$AX$20),IF($U22="逆止弁",LOOKUP($I23,◆入力◆⑤「4個同時放水」計算!$AL$15:$AX$15,◆入力◆⑤「4個同時放水」計算!$AL$21:$AX$21),IF($U22="水道メーター",LOOKUP($I23,◆入力◆⑤「4個同時放水」計算!$AL$69:$AQ$69,◆入力◆⑤「4個同時放水」計算!$AL$70:$AQ$70),IF($U22="止水栓",LOOKUP($I23,◆入力◆⑤「4個同時放水」計算!$AL$69:$AQ$69,◆入力◆⑤「4個同時放水」計算!$AL$71:$AQ$71),IF($U22="分水栓",LOOKUP($I23,◆入力◆⑤「4個同時放水」計算!$AL$69:$AQ$69,◆入力◆⑤「4個同時放水」計算!$AL$72:$AQ$72),IF($U22="巻き出しフレキ",LOOKUP($I23,◆入力◆⑤「4個同時放水」計算!$AL$69:$AQ$69,◆入力◆⑤「4個同時放水」計算!$AL$73:$AQ$73),IF($U22="",0,0)))))))</f>
        <v>0</v>
      </c>
      <c r="AF22" s="86">
        <f>IF($U22="仕切弁",LOOKUP($I23,◆入力◆⑤「4個同時放水」計算!$AL$26:$AX$26,◆入力◆⑤「4個同時放水」計算!$AL$31:$AX$31),IF($U22="逆止弁",LOOKUP($I23,◆入力◆⑤「4個同時放水」計算!$AL$26:$AX$26,◆入力◆⑤「4個同時放水」計算!$AL$32:$AX$32),IF($U22="水道メーター",LOOKUP($I23,◆入力◆⑤「4個同時放水」計算!$AL$69:$AQ$69,◆入力◆⑤「4個同時放水」計算!$AL$70:$AQ$70),IF($U22="止水栓",LOOKUP($I23,◆入力◆⑤「4個同時放水」計算!$AL$69:$AQ$69,◆入力◆⑤「4個同時放水」計算!$AL$71:$AQ$71),IF($U22="分水栓",LOOKUP($I23,◆入力◆⑤「4個同時放水」計算!$AL$69:$AQ$69,◆入力◆⑤「4個同時放水」計算!$AL$72:$AQ$72),IF($U22="巻き出しフレキ",LOOKUP($I23,◆入力◆⑤「4個同時放水」計算!$AL$69:$AQ$69,◆入力◆⑤「4個同時放水」計算!$AL$73:$AQ$73),IF($U22="",0,0)))))))</f>
        <v>0</v>
      </c>
      <c r="AG22" s="86">
        <f>IF($U22="仕切弁",LOOKUP($I23,◆入力◆⑤「4個同時放水」計算!$AL$37:$AX$37,◆入力◆⑤「4個同時放水」計算!$AL$42:$AX$42),IF($U22="逆止弁",LOOKUP($I23,◆入力◆⑤「4個同時放水」計算!$AL$37:$AX$37,◆入力◆⑤「4個同時放水」計算!$AL$43:$AX$43),IF($U22="水道メーター",LOOKUP($I23,◆入力◆⑤「4個同時放水」計算!$AL$69:$AQ$69,◆入力◆⑤「4個同時放水」計算!$AL$70:$AQ$70),IF($U22="止水栓",LOOKUP($I23,◆入力◆⑤「4個同時放水」計算!$AL$69:$AQ$69,◆入力◆⑤「4個同時放水」計算!$AL$71:$AQ$71),IF($U22="分水栓",LOOKUP($I23,◆入力◆⑤「4個同時放水」計算!$AL$69:$AQ$69,◆入力◆⑤「4個同時放水」計算!$AL$72:$AQ$72),IF($U22="巻き出しフレキ",LOOKUP($I23,◆入力◆⑤「4個同時放水」計算!$AL$69:$AQ$69,◆入力◆⑤「4個同時放水」計算!$AL$73:$AQ$73),IF($U22="",0,0)))))))</f>
        <v>0</v>
      </c>
      <c r="AH22" s="86">
        <f>IF($U22="仕切弁",LOOKUP($I23,◆入力◆⑤「4個同時放水」計算!$AL$48:$AX$48,◆入力◆⑤「4個同時放水」計算!$AL$53:$AX$53),IF($U22="逆止弁",LOOKUP($I23,◆入力◆⑤「4個同時放水」計算!$AL$48:$AX$48,◆入力◆⑤「4個同時放水」計算!$AL$54:$AX$54),IF($U22="水道メーター",LOOKUP($I23,◆入力◆⑤「4個同時放水」計算!$AL$69:$AQ$69,◆入力◆⑤「4個同時放水」計算!$AL$70:$AQ$70),IF($U22="止水栓",LOOKUP($I23,◆入力◆⑤「4個同時放水」計算!$AL$69:$AQ$69,◆入力◆⑤「4個同時放水」計算!$AL$71:$AQ$71),IF($U22="分水栓",LOOKUP($I23,◆入力◆⑤「4個同時放水」計算!$AL$69:$AQ$69,◆入力◆⑤「4個同時放水」計算!$AL$72:$AQ$72),IF($U22="巻き出しフレキ",LOOKUP($I23,◆入力◆⑤「4個同時放水」計算!$AL$69:$AQ$69,◆入力◆⑤「4個同時放水」計算!$AL$73:$AQ$73),IF($U22="",0,0)))))))</f>
        <v>0</v>
      </c>
      <c r="AI22" s="86">
        <f>IF($U22="仕切弁",LOOKUP($I23,◆入力◆⑤「4個同時放水」計算!$AL$59:$AX$59,◆入力◆⑤「4個同時放水」計算!$AL$64:$AX$64),IF($U22="逆止弁",LOOKUP($I23,◆入力◆⑤「4個同時放水」計算!$AL$59:$AX$59,◆入力◆⑤「4個同時放水」計算!$AL$65:$AX$65),IF($U22="水道メーター",LOOKUP($I23,◆入力◆⑤「4個同時放水」計算!$AL$69:$AQ$69,◆入力◆⑤「4個同時放水」計算!$AL$70:$AQ$70),IF($U22="止水栓",LOOKUP($I23,◆入力◆⑤「4個同時放水」計算!$AL$69:$AQ$69,◆入力◆⑤「4個同時放水」計算!$AL$71:$AQ$71),IF($U22="分水栓",LOOKUP($I23,◆入力◆⑤「4個同時放水」計算!$AL$69:$AQ$69,◆入力◆⑤「4個同時放水」計算!$AL$72:$AQ$72),IF($U22="巻き出しフレキ",LOOKUP($I23,◆入力◆⑤「4個同時放水」計算!$AL$69:$AQ$69,◆入力◆⑤「4個同時放水」計算!$AL$73:$AQ$73),IF($U22="",0,0)))))))</f>
        <v>0</v>
      </c>
      <c r="AJ22" s="182"/>
      <c r="AK22" s="57" t="s">
        <v>42</v>
      </c>
      <c r="AL22" s="63">
        <v>7.28</v>
      </c>
      <c r="AM22" s="63">
        <v>7.66</v>
      </c>
      <c r="AN22" s="63">
        <v>9.0500000000000007</v>
      </c>
      <c r="AO22" s="63">
        <v>11.73</v>
      </c>
      <c r="AP22" s="63">
        <v>10.86</v>
      </c>
      <c r="AQ22" s="63">
        <v>12.14</v>
      </c>
      <c r="AR22" s="103"/>
      <c r="AS22" s="103"/>
      <c r="AT22" s="103"/>
      <c r="AU22" s="103"/>
      <c r="AV22" s="102"/>
      <c r="AW22" s="102"/>
      <c r="AX22" s="102"/>
      <c r="AY22" s="40"/>
      <c r="AZ22" s="40"/>
      <c r="BA22" s="40"/>
      <c r="BB22" s="180"/>
      <c r="BC22" s="40"/>
      <c r="BD22" s="40"/>
      <c r="BE22" s="40"/>
      <c r="BF22" s="40"/>
      <c r="BG22" s="40"/>
      <c r="BK22" s="40"/>
      <c r="BL22" s="40"/>
      <c r="BM22" s="40"/>
      <c r="BN22" s="40"/>
      <c r="BO22" s="40"/>
      <c r="BP22" s="40"/>
      <c r="BQ22" s="40"/>
      <c r="BR22" s="40"/>
      <c r="BS22" s="40"/>
      <c r="BT22" s="40"/>
    </row>
    <row r="23" spans="6:72" x14ac:dyDescent="0.15">
      <c r="F23" s="235"/>
      <c r="G23" s="40"/>
      <c r="H23" s="186">
        <f>IF(H22=5,"⑤－⑥",IF(H22=4,"④－⑤",0))</f>
        <v>0</v>
      </c>
      <c r="I23" s="170"/>
      <c r="J23" s="40"/>
      <c r="K23" s="171" t="str">
        <f>IF(I23="","",K20)</f>
        <v/>
      </c>
      <c r="L23" s="74">
        <f>IF(I23="",0,IF(I23&gt;=65,K23^1.85*0.012/I24^4.87,ROUNDUP((0.0126+(0.01739-(0.1087*I24/100))/SQRT(4*K23/(60000*PI()*(I24/100)^2)))*(1/(I24/100))*((4*K23/(60000*PI()*(I24/100)^2))^2/(2*9.8)),4)))</f>
        <v>0</v>
      </c>
      <c r="M23" s="172"/>
      <c r="N23" s="84">
        <f>ROUNDUP(L23*M23,2)</f>
        <v>0</v>
      </c>
      <c r="O23" s="87" t="str">
        <f>IF(I23="","","Ｔ直")</f>
        <v/>
      </c>
      <c r="P23" s="174"/>
      <c r="Q23" s="88">
        <f>IF(I23=0,0,IF(I22="SGP-VB",LOOKUP(I23,◆入力◆⑤「4個同時放水」計算!$AL$4:$AX$4,◆入力◆⑤「4個同時放水」計算!$AL$7:$AX$7),IF(I22="SGP-PB",LOOKUP(I23,◆入力◆⑤「4個同時放水」計算!$AL$15:$AX$15,◆入力◆⑤「4個同時放水」計算!$AL$18:$AX$18),IF(I22="HIVP",LOOKUP(I23,◆入力◆⑤「4個同時放水」計算!$AL$26:$AX$26,◆入力◆⑤「4個同時放水」計算!$AL$29:$AX$29),IF(OR(I22="SGP",I22="フレキ"),LOOKUP(I23,◆入力◆⑤「4個同時放水」計算!$AL$37:$AX$37,◆入力◆⑤「4個同時放水」計算!$AL$40:$AX$40),IF(I22="SUS",LOOKUP(I23,◆入力◆⑤「4個同時放水」計算!$AL$48:$AX$48,◆入力◆⑤「4個同時放水」計算!$AL$51:$AX$51),IF(OR(I22="PE",I22="PP"),LOOKUP(I23,◆入力◆⑤「4個同時放水」計算!$AL$59:$AX$59,◆入力◆⑤「4個同時放水」計算!$AL$62:$AX$62))))))))</f>
        <v>0</v>
      </c>
      <c r="R23" s="82">
        <f t="shared" si="0"/>
        <v>0</v>
      </c>
      <c r="S23" s="83">
        <f>R22+R23+R24</f>
        <v>0</v>
      </c>
      <c r="T23" s="84">
        <f>ROUNDUP(L23*S23,2)</f>
        <v>0</v>
      </c>
      <c r="U23" s="177"/>
      <c r="V23" s="174"/>
      <c r="W23" s="82">
        <f>IF($U23="Yスト",AC23,IF($I22="sgp-vb",AD23,IF($I22="sgp-pb",AE23,IF($I22="hivp",AF23,IF(OR($I22="sgp",$I22="フレキ"),AG23,IF($I22="sus",AH23,IF(OR($I22="PE",$I22="PP"),AI23,0)))))))</f>
        <v>0</v>
      </c>
      <c r="X23" s="82">
        <f t="shared" si="1"/>
        <v>0</v>
      </c>
      <c r="Y23" s="83">
        <f>SUM(X22:X24)</f>
        <v>0</v>
      </c>
      <c r="Z23" s="84">
        <f t="shared" ref="Z23" si="12">IF(AND($U23="電動弁",$V23=1),LOOKUP($K23,$AL$76:$BQ$76,$AL$77:$BQ$77),IF(AND($U23="逆流防止装置E",$V23=1),LOOKUP($I23,$AN$105:$AQ$105,$AN118:$AQ118),IF(AND($U23="逆流防止装置K",$V23=1),LOOKUP($I23,$AN$105:$AQ$105,$AN119:$AQ119),IF(AND($U23="逆流防止装置T",$V23=1),LOOKUP($I23,$AN$105:$AQ$105,$AN120:$AQ120),0))))</f>
        <v>0</v>
      </c>
      <c r="AA23" s="40"/>
      <c r="AB23" s="84">
        <f>N23+T23+Z22+Z23+Z24</f>
        <v>0</v>
      </c>
      <c r="AC23" s="89">
        <f>IF(U23="Yスト",IF(I22="SGP-VB",LOOKUP(I23,◆入力◆⑤「4個同時放水」計算!$AL$4:$AX$4,◆入力◆⑤「4個同時放水」計算!$AL$11:$AX$11),IF(I22="SGP-PB",LOOKUP(I23,◆入力◆⑤「4個同時放水」計算!$AL$15:$AX$15,◆入力◆⑤「4個同時放水」計算!$AL$22:$AX$22),IF(I22="HIVP",LOOKUP(I23,◆入力◆⑤「4個同時放水」計算!$AL$26:$AX$26,◆入力◆⑤「4個同時放水」計算!$AL$33:$AX$33),IF(OR(I22="SGP",I22="フレキ"),LOOKUP(I23,◆入力◆⑤「4個同時放水」計算!$AL$37:$AX$37,◆入力◆⑤「4個同時放水」計算!$AL$44:$AX$44),IF(I22="SUS",LOOKUP(I23,◆入力◆⑤「4個同時放水」計算!$AL$48:$AX$48,◆入力◆⑤「4個同時放水」計算!$AL$55:$AX$55),IF(OR(I22="PE",I22="PP"),LOOKUP(I23,◆入力◆⑤「4個同時放水」計算!$AL$59:$AX$59,◆入力◆⑤「4個同時放水」計算!$AL$66:$AX$66))))))),0)</f>
        <v>0</v>
      </c>
      <c r="AD23" s="90">
        <f>IF($U23="仕切弁",LOOKUP($I23,◆入力◆⑤「4個同時放水」計算!$AL$4:$AX$4,◆入力◆⑤「4個同時放水」計算!$AL$9:$AX$9),IF($U23="逆止弁",LOOKUP($I23,◆入力◆⑤「4個同時放水」計算!$AL$4:$AX$4,◆入力◆⑤「4個同時放水」計算!$AL$10:$AX$10),IF($U23="水道メーター",LOOKUP($I23,◆入力◆⑤「4個同時放水」計算!$AL$69:$AQ$69,◆入力◆⑤「4個同時放水」計算!$AL$70:$AQ$70),IF($U23="止水栓",LOOKUP($I23,◆入力◆⑤「4個同時放水」計算!$AL$69:$AQ$69,◆入力◆⑤「4個同時放水」計算!$AL$71:$AQ$71),IF($U23="分水栓",LOOKUP($I23,◆入力◆⑤「4個同時放水」計算!$AL$69:$AQ$69,◆入力◆⑤「4個同時放水」計算!$AL$72:$AQ$72),IF($U23="巻き出しフレキ",LOOKUP($I23,◆入力◆⑤「4個同時放水」計算!$AL$69:$AQ$69,◆入力◆⑤「4個同時放水」計算!$AL$73:$AQ$73),IF($U23="",0,0)))))))</f>
        <v>0</v>
      </c>
      <c r="AE23" s="90">
        <f>IF($U23="仕切弁",LOOKUP($I23,◆入力◆⑤「4個同時放水」計算!$AL$15:$AX$15,◆入力◆⑤「4個同時放水」計算!$AL$20:$AX$20),IF($U23="逆止弁",LOOKUP($I23,◆入力◆⑤「4個同時放水」計算!$AL$15:$AX$15,◆入力◆⑤「4個同時放水」計算!$AL$21:$AX$21),IF($U23="水道メーター",LOOKUP($I23,◆入力◆⑤「4個同時放水」計算!$AL$69:$AQ$69,◆入力◆⑤「4個同時放水」計算!$AL$70:$AQ$70),IF($U23="止水栓",LOOKUP($I23,◆入力◆⑤「4個同時放水」計算!$AL$69:$AQ$69,◆入力◆⑤「4個同時放水」計算!$AL$71:$AQ$71),IF($U23="分水栓",LOOKUP($I23,◆入力◆⑤「4個同時放水」計算!$AL$69:$AQ$69,◆入力◆⑤「4個同時放水」計算!$AL$72:$AQ$72),IF($U23="巻き出しフレキ",LOOKUP($I23,◆入力◆⑤「4個同時放水」計算!$AL$69:$AQ$69,◆入力◆⑤「4個同時放水」計算!$AL$73:$AQ$73),IF($U23="",0,0)))))))</f>
        <v>0</v>
      </c>
      <c r="AF23" s="90">
        <f>IF($U23="仕切弁",LOOKUP($I23,◆入力◆⑤「4個同時放水」計算!$AL$26:$AX$26,◆入力◆⑤「4個同時放水」計算!$AL$31:$AX$31),IF($U23="逆止弁",LOOKUP($I23,◆入力◆⑤「4個同時放水」計算!$AL$26:$AX$26,◆入力◆⑤「4個同時放水」計算!$AL$32:$AX$32),IF($U23="水道メーター",LOOKUP($I23,◆入力◆⑤「4個同時放水」計算!$AL$69:$AQ$69,◆入力◆⑤「4個同時放水」計算!$AL$70:$AQ$70),IF($U23="止水栓",LOOKUP($I23,◆入力◆⑤「4個同時放水」計算!$AL$69:$AQ$69,◆入力◆⑤「4個同時放水」計算!$AL$71:$AQ$71),IF($U23="分水栓",LOOKUP($I23,◆入力◆⑤「4個同時放水」計算!$AL$69:$AQ$69,◆入力◆⑤「4個同時放水」計算!$AL$72:$AQ$72),IF($U23="巻き出しフレキ",LOOKUP($I23,◆入力◆⑤「4個同時放水」計算!$AL$69:$AQ$69,◆入力◆⑤「4個同時放水」計算!$AL$73:$AQ$73),IF($U23="",0,0)))))))</f>
        <v>0</v>
      </c>
      <c r="AG23" s="90">
        <f>IF($U23="仕切弁",LOOKUP($I23,◆入力◆⑤「4個同時放水」計算!$AL$37:$AX$37,◆入力◆⑤「4個同時放水」計算!$AL$42:$AX$42),IF($U23="逆止弁",LOOKUP($I23,◆入力◆⑤「4個同時放水」計算!$AL$37:$AX$37,◆入力◆⑤「4個同時放水」計算!$AL$43:$AX$43),IF($U23="水道メーター",LOOKUP($I23,◆入力◆⑤「4個同時放水」計算!$AL$69:$AQ$69,◆入力◆⑤「4個同時放水」計算!$AL$70:$AQ$70),IF($U23="止水栓",LOOKUP($I23,◆入力◆⑤「4個同時放水」計算!$AL$69:$AQ$69,◆入力◆⑤「4個同時放水」計算!$AL$71:$AQ$71),IF($U23="分水栓",LOOKUP($I23,◆入力◆⑤「4個同時放水」計算!$AL$69:$AQ$69,◆入力◆⑤「4個同時放水」計算!$AL$72:$AQ$72),IF($U23="巻き出しフレキ",LOOKUP($I23,◆入力◆⑤「4個同時放水」計算!$AL$69:$AQ$69,◆入力◆⑤「4個同時放水」計算!$AL$73:$AQ$73),IF($U23="",0,0)))))))</f>
        <v>0</v>
      </c>
      <c r="AH23" s="90">
        <f>IF($U23="仕切弁",LOOKUP($I23,◆入力◆⑤「4個同時放水」計算!$AL$48:$AX$48,◆入力◆⑤「4個同時放水」計算!$AL$53:$AX$53),IF($U23="逆止弁",LOOKUP($I23,◆入力◆⑤「4個同時放水」計算!$AL$48:$AX$48,◆入力◆⑤「4個同時放水」計算!$AL$54:$AX$54),IF($U23="水道メーター",LOOKUP($I23,◆入力◆⑤「4個同時放水」計算!$AL$69:$AQ$69,◆入力◆⑤「4個同時放水」計算!$AL$70:$AQ$70),IF($U23="止水栓",LOOKUP($I23,◆入力◆⑤「4個同時放水」計算!$AL$69:$AQ$69,◆入力◆⑤「4個同時放水」計算!$AL$71:$AQ$71),IF($U23="分水栓",LOOKUP($I23,◆入力◆⑤「4個同時放水」計算!$AL$69:$AQ$69,◆入力◆⑤「4個同時放水」計算!$AL$72:$AQ$72),IF($U23="巻き出しフレキ",LOOKUP($I23,◆入力◆⑤「4個同時放水」計算!$AL$69:$AQ$69,◆入力◆⑤「4個同時放水」計算!$AL$73:$AQ$73),IF($U23="",0,0)))))))</f>
        <v>0</v>
      </c>
      <c r="AI23" s="90">
        <f>IF($U23="仕切弁",LOOKUP($I23,◆入力◆⑤「4個同時放水」計算!$AL$59:$AX$59,◆入力◆⑤「4個同時放水」計算!$AL$64:$AX$64),IF($U23="逆止弁",LOOKUP($I23,◆入力◆⑤「4個同時放水」計算!$AL$59:$AX$59,◆入力◆⑤「4個同時放水」計算!$AL$65:$AX$65),IF($U23="水道メーター",LOOKUP($I23,◆入力◆⑤「4個同時放水」計算!$AL$69:$AQ$69,◆入力◆⑤「4個同時放水」計算!$AL$70:$AQ$70),IF($U23="止水栓",LOOKUP($I23,◆入力◆⑤「4個同時放水」計算!$AL$69:$AQ$69,◆入力◆⑤「4個同時放水」計算!$AL$71:$AQ$71),IF($U23="分水栓",LOOKUP($I23,◆入力◆⑤「4個同時放水」計算!$AL$69:$AQ$69,◆入力◆⑤「4個同時放水」計算!$AL$72:$AQ$72),IF($U23="巻き出しフレキ",LOOKUP($I23,◆入力◆⑤「4個同時放水」計算!$AL$69:$AQ$69,◆入力◆⑤「4個同時放水」計算!$AL$73:$AQ$73),IF($U23="",0,0)))))))</f>
        <v>0</v>
      </c>
      <c r="AJ23" s="144"/>
      <c r="AV23" s="40"/>
      <c r="AW23" s="40"/>
      <c r="AX23" s="40"/>
      <c r="AY23" s="40"/>
      <c r="AZ23" s="40"/>
      <c r="BA23" s="40"/>
      <c r="BB23" s="180"/>
      <c r="BC23" s="40"/>
      <c r="BD23" s="40"/>
      <c r="BE23" s="40"/>
      <c r="BF23" s="40"/>
      <c r="BG23" s="40"/>
      <c r="BK23" s="40"/>
      <c r="BL23" s="40"/>
      <c r="BM23" s="40"/>
      <c r="BN23" s="40"/>
      <c r="BO23" s="40"/>
      <c r="BP23" s="40"/>
      <c r="BQ23" s="40"/>
      <c r="BR23" s="40"/>
      <c r="BS23" s="40"/>
      <c r="BT23" s="40"/>
    </row>
    <row r="24" spans="6:72" x14ac:dyDescent="0.15">
      <c r="F24" s="235"/>
      <c r="G24" s="40"/>
      <c r="H24" s="145"/>
      <c r="I24" s="91">
        <f>IF(I23="",0,IF(I22="SGP-VB",LOOKUP(I23,◆入力◆⑤「4個同時放水」計算!$AL$4:$AX$4,◆入力◆⑤「4個同時放水」計算!$AL$5:$AX$5),IF(I22="SGP-PB",LOOKUP(I23,◆入力◆⑤「4個同時放水」計算!$AL$15:$AX$15,◆入力◆⑤「4個同時放水」計算!$AL$16:$AX$16),IF(I22="HIVP",LOOKUP(I23,◆入力◆⑤「4個同時放水」計算!$AL$26:$AX$26,◆入力◆⑤「4個同時放水」計算!$AL$27:$AX$27),IF(OR(I22="SGP",I22="フレキ"),LOOKUP(I23,◆入力◆⑤「4個同時放水」計算!$AL$37:$AX$37,◆入力◆⑤「4個同時放水」計算!$AL$38:$AX$38),IF(I22="SUS",LOOKUP(I23,◆入力◆⑤「4個同時放水」計算!$AL$48:$AX$48,◆入力◆⑤「4個同時放水」計算!$AL$49:$AX$49),IF(OR(I22="PE",I22="PP"),LOOKUP(I23,◆入力◆⑤「4個同時放水」計算!$AL$59:$AX$59,◆入力◆⑤「4個同時放水」計算!$AL$60:$AX$60))))))))</f>
        <v>0</v>
      </c>
      <c r="J24" s="40"/>
      <c r="K24" s="73"/>
      <c r="L24" s="74"/>
      <c r="M24" s="75"/>
      <c r="N24" s="76"/>
      <c r="O24" s="87" t="str">
        <f>IF(I23="","","Ｔ分")</f>
        <v/>
      </c>
      <c r="P24" s="175"/>
      <c r="Q24" s="88">
        <f>IF(I23=0,0,IF(I22="SGP-VB",LOOKUP(I23,◆入力◆⑤「4個同時放水」計算!$AL$4:$AX$4,◆入力◆⑤「4個同時放水」計算!$AL$8:$AX$8),IF(I22="SGP-PB",LOOKUP(I23,◆入力◆⑤「4個同時放水」計算!$AL$15:$AX$15,◆入力◆⑤「4個同時放水」計算!$AL$19:$AX$19),IF(I22="HIVP",LOOKUP(I23,◆入力◆⑤「4個同時放水」計算!$AL$26:$AX$26,◆入力◆⑤「4個同時放水」計算!$AL$30:$AX$30),IF(OR(I22="SGP",I22="フレキ"),LOOKUP(I23,◆入力◆⑤「4個同時放水」計算!$AL$37:$AX$37,◆入力◆⑤「4個同時放水」計算!$AL$41:$AX$41),IF(I22="SUS",LOOKUP(I23,◆入力◆⑤「4個同時放水」計算!$AL$48:$AX$48,◆入力◆⑤「4個同時放水」計算!$AL$52:$AX$52),IF(OR(I22="PE",I22="PP"),LOOKUP(I23,◆入力◆⑤「4個同時放水」計算!$AL$59:$AX$59,◆入力◆⑤「4個同時放水」計算!$AL$63:$AX$63))))))))</f>
        <v>0</v>
      </c>
      <c r="R24" s="100">
        <f t="shared" si="0"/>
        <v>0</v>
      </c>
      <c r="S24" s="101"/>
      <c r="T24" s="92"/>
      <c r="U24" s="178"/>
      <c r="V24" s="174"/>
      <c r="W24" s="100">
        <f>IF($U24="Yスト",AC24,IF($I22="sgp-vb",AD24,IF($I22="sgp-pb",AE24,IF($I22="hivp",AF24,IF(OR($I22="sgp",$I22="フレキ"),AG24,IF($I22="sus",AH24,IF(OR($I22="PE",$I22="PP"),AI24,0)))))))</f>
        <v>0</v>
      </c>
      <c r="X24" s="82">
        <f t="shared" si="1"/>
        <v>0</v>
      </c>
      <c r="Y24" s="83"/>
      <c r="Z24" s="92">
        <f t="shared" ref="Z24" si="13">ROUNDUP(L23*Y23,2)</f>
        <v>0</v>
      </c>
      <c r="AA24" s="40"/>
      <c r="AB24" s="93"/>
      <c r="AC24" s="90">
        <f>IF(U24="Yスト",IF(I22="SGP-VB",LOOKUP(I23,◆入力◆⑤「4個同時放水」計算!$AL$4:$AX$4,◆入力◆⑤「4個同時放水」計算!$AL$11:$AX$11),IF(I22="SGP-PB",LOOKUP(I23,◆入力◆⑤「4個同時放水」計算!$AL$15:$AX$15,◆入力◆⑤「4個同時放水」計算!$AL$22:$AX$22),IF(I22="HIVP",LOOKUP(I23,◆入力◆⑤「4個同時放水」計算!$AL$26:$AX$26,◆入力◆⑤「4個同時放水」計算!$AL$33:$AX$33),IF(OR(I22="SGP",I22="フレキ"),LOOKUP(I23,◆入力◆⑤「4個同時放水」計算!$AL$37:$AX$37,◆入力◆⑤「4個同時放水」計算!$AL$44:$AX$44),IF(I22="SUS",LOOKUP(I23,◆入力◆⑤「4個同時放水」計算!$AL$48:$AX$48,◆入力◆⑤「4個同時放水」計算!$AL$55:$AX$55),IF(OR(I22="PE",I22="PP"),LOOKUP(I23,◆入力◆⑤「4個同時放水」計算!$AL$59:$AX$59,◆入力◆⑤「4個同時放水」計算!$AL$66:$AX$66))))))),0)</f>
        <v>0</v>
      </c>
      <c r="AD24" s="90">
        <f>IF($U24="仕切弁",LOOKUP($I23,◆入力◆⑤「4個同時放水」計算!$AL$4:$AX$4,◆入力◆⑤「4個同時放水」計算!$AL$9:$AX$9),IF($U24="逆止弁",LOOKUP($I23,◆入力◆⑤「4個同時放水」計算!$AL$4:$AX$4,◆入力◆⑤「4個同時放水」計算!$AL$10:$AX$10),IF($U24="水道メーター",LOOKUP($I23,◆入力◆⑤「4個同時放水」計算!$AL$69:$AQ$69,◆入力◆⑤「4個同時放水」計算!$AL$70:$AQ$70),IF($U24="止水栓",LOOKUP($I23,◆入力◆⑤「4個同時放水」計算!$AL$69:$AQ$69,◆入力◆⑤「4個同時放水」計算!$AL$71:$AQ$71),IF($U24="分水栓",LOOKUP($I23,◆入力◆⑤「4個同時放水」計算!$AL$69:$AQ$69,◆入力◆⑤「4個同時放水」計算!$AL$72:$AQ$72),IF($U24="巻き出しフレキ",LOOKUP($I23,◆入力◆⑤「4個同時放水」計算!$AL$69:$AQ$69,◆入力◆⑤「4個同時放水」計算!$AL$73:$AQ$73),IF($U24="",0,0)))))))</f>
        <v>0</v>
      </c>
      <c r="AE24" s="90">
        <f>IF($U24="仕切弁",LOOKUP($I23,◆入力◆⑤「4個同時放水」計算!$AL$15:$AX$15,◆入力◆⑤「4個同時放水」計算!$AL$20:$AX$20),IF($U24="逆止弁",LOOKUP($I23,◆入力◆⑤「4個同時放水」計算!$AL$15:$AX$15,◆入力◆⑤「4個同時放水」計算!$AL$21:$AX$21),IF($U24="水道メーター",LOOKUP($I23,◆入力◆⑤「4個同時放水」計算!$AL$69:$AQ$69,◆入力◆⑤「4個同時放水」計算!$AL$70:$AQ$70),IF($U24="止水栓",LOOKUP($I23,◆入力◆⑤「4個同時放水」計算!$AL$69:$AQ$69,◆入力◆⑤「4個同時放水」計算!$AL$71:$AQ$71),IF($U24="分水栓",LOOKUP($I23,◆入力◆⑤「4個同時放水」計算!$AL$69:$AQ$69,◆入力◆⑤「4個同時放水」計算!$AL$72:$AQ$72),IF($U24="巻き出しフレキ",LOOKUP($I23,◆入力◆⑤「4個同時放水」計算!$AL$69:$AQ$69,◆入力◆⑤「4個同時放水」計算!$AL$73:$AQ$73),IF($U24="",0,0)))))))</f>
        <v>0</v>
      </c>
      <c r="AF24" s="90">
        <f>IF($U24="仕切弁",LOOKUP($I23,◆入力◆⑤「4個同時放水」計算!$AL$26:$AX$26,◆入力◆⑤「4個同時放水」計算!$AL$31:$AX$31),IF($U24="逆止弁",LOOKUP($I23,◆入力◆⑤「4個同時放水」計算!$AL$26:$AX$26,◆入力◆⑤「4個同時放水」計算!$AL$32:$AX$32),IF($U24="水道メーター",LOOKUP($I23,◆入力◆⑤「4個同時放水」計算!$AL$69:$AQ$69,◆入力◆⑤「4個同時放水」計算!$AL$70:$AQ$70),IF($U24="止水栓",LOOKUP($I23,◆入力◆⑤「4個同時放水」計算!$AL$69:$AQ$69,◆入力◆⑤「4個同時放水」計算!$AL$71:$AQ$71),IF($U24="分水栓",LOOKUP($I23,◆入力◆⑤「4個同時放水」計算!$AL$69:$AQ$69,◆入力◆⑤「4個同時放水」計算!$AL$72:$AQ$72),IF($U24="巻き出しフレキ",LOOKUP($I23,◆入力◆⑤「4個同時放水」計算!$AL$69:$AQ$69,◆入力◆⑤「4個同時放水」計算!$AL$73:$AQ$73),IF($U24="",0,0)))))))</f>
        <v>0</v>
      </c>
      <c r="AG24" s="90">
        <f>IF($U24="仕切弁",LOOKUP($I23,◆入力◆⑤「4個同時放水」計算!$AL$37:$AX$37,◆入力◆⑤「4個同時放水」計算!$AL$42:$AX$42),IF($U24="逆止弁",LOOKUP($I23,◆入力◆⑤「4個同時放水」計算!$AL$37:$AX$37,◆入力◆⑤「4個同時放水」計算!$AL$43:$AX$43),IF($U24="水道メーター",LOOKUP($I23,◆入力◆⑤「4個同時放水」計算!$AL$69:$AQ$69,◆入力◆⑤「4個同時放水」計算!$AL$70:$AQ$70),IF($U24="止水栓",LOOKUP($I23,◆入力◆⑤「4個同時放水」計算!$AL$69:$AQ$69,◆入力◆⑤「4個同時放水」計算!$AL$71:$AQ$71),IF($U24="分水栓",LOOKUP($I23,◆入力◆⑤「4個同時放水」計算!$AL$69:$AQ$69,◆入力◆⑤「4個同時放水」計算!$AL$72:$AQ$72),IF($U24="巻き出しフレキ",LOOKUP($I23,◆入力◆⑤「4個同時放水」計算!$AL$69:$AQ$69,◆入力◆⑤「4個同時放水」計算!$AL$73:$AQ$73),IF($U24="",0,0)))))))</f>
        <v>0</v>
      </c>
      <c r="AH24" s="90">
        <f>IF($U24="仕切弁",LOOKUP($I23,◆入力◆⑤「4個同時放水」計算!$AL$48:$AX$48,◆入力◆⑤「4個同時放水」計算!$AL$53:$AX$53),IF($U24="逆止弁",LOOKUP($I23,◆入力◆⑤「4個同時放水」計算!$AL$48:$AX$48,◆入力◆⑤「4個同時放水」計算!$AL$54:$AX$54),IF($U24="水道メーター",LOOKUP($I23,◆入力◆⑤「4個同時放水」計算!$AL$69:$AQ$69,◆入力◆⑤「4個同時放水」計算!$AL$70:$AQ$70),IF($U24="止水栓",LOOKUP($I23,◆入力◆⑤「4個同時放水」計算!$AL$69:$AQ$69,◆入力◆⑤「4個同時放水」計算!$AL$71:$AQ$71),IF($U24="分水栓",LOOKUP($I23,◆入力◆⑤「4個同時放水」計算!$AL$69:$AQ$69,◆入力◆⑤「4個同時放水」計算!$AL$72:$AQ$72),IF($U24="巻き出しフレキ",LOOKUP($I23,◆入力◆⑤「4個同時放水」計算!$AL$69:$AQ$69,◆入力◆⑤「4個同時放水」計算!$AL$73:$AQ$73),IF($U24="",0,0)))))))</f>
        <v>0</v>
      </c>
      <c r="AI24" s="90">
        <f>IF($U24="仕切弁",LOOKUP($I23,◆入力◆⑤「4個同時放水」計算!$AL$59:$AX$59,◆入力◆⑤「4個同時放水」計算!$AL$64:$AX$64),IF($U24="逆止弁",LOOKUP($I23,◆入力◆⑤「4個同時放水」計算!$AL$59:$AX$59,◆入力◆⑤「4個同時放水」計算!$AL$65:$AX$65),IF($U24="水道メーター",LOOKUP($I23,◆入力◆⑤「4個同時放水」計算!$AL$69:$AQ$69,◆入力◆⑤「4個同時放水」計算!$AL$70:$AQ$70),IF($U24="止水栓",LOOKUP($I23,◆入力◆⑤「4個同時放水」計算!$AL$69:$AQ$69,◆入力◆⑤「4個同時放水」計算!$AL$71:$AQ$71),IF($U24="分水栓",LOOKUP($I23,◆入力◆⑤「4個同時放水」計算!$AL$69:$AQ$69,◆入力◆⑤「4個同時放水」計算!$AL$72:$AQ$72),IF($U24="巻き出しフレキ",LOOKUP($I23,◆入力◆⑤「4個同時放水」計算!$AL$69:$AQ$69,◆入力◆⑤「4個同時放水」計算!$AL$73:$AQ$73),IF($U24="",0,0)))))))</f>
        <v>0</v>
      </c>
      <c r="AJ24" s="144"/>
      <c r="AV24" s="40"/>
      <c r="AW24" s="40"/>
      <c r="AX24" s="40"/>
      <c r="AY24" s="40"/>
      <c r="AZ24" s="40"/>
      <c r="BA24" s="40"/>
      <c r="BB24" s="180"/>
      <c r="BC24" s="40"/>
      <c r="BD24" s="40"/>
      <c r="BE24" s="40"/>
      <c r="BF24" s="40"/>
      <c r="BG24" s="40"/>
      <c r="BK24" s="40"/>
      <c r="BL24" s="40"/>
      <c r="BM24" s="40"/>
      <c r="BN24" s="40"/>
      <c r="BO24" s="40"/>
      <c r="BP24" s="40"/>
      <c r="BQ24" s="40"/>
      <c r="BR24" s="40"/>
      <c r="BS24" s="40"/>
      <c r="BT24" s="40"/>
    </row>
    <row r="25" spans="6:72" x14ac:dyDescent="0.15">
      <c r="F25" s="235" t="s">
        <v>26</v>
      </c>
      <c r="G25" s="40"/>
      <c r="H25" s="169"/>
      <c r="I25" s="189" t="str">
        <f>IF(H25="","",◆入力◆①配管容量!$M$3)</f>
        <v/>
      </c>
      <c r="J25" s="40"/>
      <c r="K25" s="94"/>
      <c r="L25" s="95"/>
      <c r="M25" s="96"/>
      <c r="N25" s="85"/>
      <c r="O25" s="77" t="str">
        <f>IF(I26="","","E９０°")</f>
        <v/>
      </c>
      <c r="P25" s="173"/>
      <c r="Q25" s="78">
        <f>IF(I26=0,0,IF(I25="SGP-VB",LOOKUP(I26,◆入力◆⑤「4個同時放水」計算!$AL$4:$AX$4,◆入力◆⑤「4個同時放水」計算!$AL$6:$AX$6),IF(I25="SGP-PB",LOOKUP(I26,◆入力◆⑤「4個同時放水」計算!$AL$15:$AX$15,◆入力◆⑤「4個同時放水」計算!$AL$17:$AX$17),IF(I25="HIVP",LOOKUP(I26,◆入力◆⑤「4個同時放水」計算!$AL$26:$AX$26,◆入力◆⑤「4個同時放水」計算!$AL$28:$AX$28),IF(OR(I25="SGP",I25="フレキ"),LOOKUP(I26,◆入力◆⑤「4個同時放水」計算!$AL$37:$AX$37,◆入力◆⑤「4個同時放水」計算!$AL$39:$AX$39),IF(I25="SUS",LOOKUP(I26,◆入力◆⑤「4個同時放水」計算!$AL$48:$AX$48,◆入力◆⑤「4個同時放水」計算!$AL$50:$AX$50),IF(OR(I25="PE",I25="PP"),LOOKUP(I26,◆入力◆⑤「4個同時放水」計算!$AL$59:$AX$59,◆入力◆⑤「4個同時放水」計算!$AL$61:$AX$61))))))))</f>
        <v>0</v>
      </c>
      <c r="R25" s="79">
        <f t="shared" si="0"/>
        <v>0</v>
      </c>
      <c r="S25" s="80"/>
      <c r="T25" s="81">
        <v>0</v>
      </c>
      <c r="U25" s="176"/>
      <c r="V25" s="173"/>
      <c r="W25" s="82">
        <f>IF($U25="Yスト",AC25,IF($I25="sgp-vb",AD25,IF($I25="sgp-pb",AE25,IF($I25="hivp",AF25,IF(OR($I25="sgp",$I25="フレキ"),AG25,IF($I25="sus",AH25,IF(OR($I25="PE",$I25="PP"),AI25,0)))))))</f>
        <v>0</v>
      </c>
      <c r="X25" s="79">
        <f t="shared" si="1"/>
        <v>0</v>
      </c>
      <c r="Y25" s="80"/>
      <c r="Z25" s="84">
        <f t="shared" ref="Z25" si="14">IF(AND($U25="電動弁",$V25=1),LOOKUP($K26,$AL$76:$BQ$76,$AL$77:$BQ$77),IF(AND($U25="逆流防止装置E",$V25=1),LOOKUP($I26,$AN$105:$AQ$105,$AN121:$AQ121),IF(AND($U25="逆流防止装置K",$V25=1),LOOKUP($I26,$AN$105:$AQ$105,$AN122:$AQ122),IF(AND($U25="逆流防止装置T",$V25=1),LOOKUP($I26,$AN$105:$AQ$105,$AN123:$AQ123),0))))</f>
        <v>0</v>
      </c>
      <c r="AA25" s="40"/>
      <c r="AB25" s="76"/>
      <c r="AC25" s="86">
        <f>IF(U25="Yスト",IF(I25="SGP-VB",LOOKUP(I26,◆入力◆⑤「4個同時放水」計算!$AL$4:$AX$4,◆入力◆⑤「4個同時放水」計算!$AL$11:$AX$11),IF(I25="SGP-PB",LOOKUP(I26,◆入力◆⑤「4個同時放水」計算!$AL$15:$AX$15,◆入力◆⑤「4個同時放水」計算!$AL$22:$AX$22),IF(I25="HIVP",LOOKUP(I26,◆入力◆⑤「4個同時放水」計算!$AL$26:$AX$26,◆入力◆⑤「4個同時放水」計算!$AL$33:$AX$33),IF(OR(I25="SGP",I25="フレキ"),LOOKUP(I26,◆入力◆⑤「4個同時放水」計算!$AL$37:$AX$37,◆入力◆⑤「4個同時放水」計算!$AL$44:$AX$44),IF(I25="SUS",LOOKUP(I26,◆入力◆⑤「4個同時放水」計算!$AL$48:$AX$48,◆入力◆⑤「4個同時放水」計算!$AL$55:$AX$55),IF(OR(I25="PE",I25="PP"),LOOKUP(I26,◆入力◆⑤「4個同時放水」計算!$AL$59:$AX$59,◆入力◆⑤「4個同時放水」計算!$AL$66:$AX$66))))))),0)</f>
        <v>0</v>
      </c>
      <c r="AD25" s="86">
        <f>IF($U25="仕切弁",LOOKUP($I26,◆入力◆⑤「4個同時放水」計算!$AL$4:$AX$4,◆入力◆⑤「4個同時放水」計算!$AL$9:$AX$9),IF($U25="逆止弁",LOOKUP($I26,◆入力◆⑤「4個同時放水」計算!$AL$4:$AX$4,◆入力◆⑤「4個同時放水」計算!$AL$10:$AX$10),IF($U25="水道メーター",LOOKUP($I26,◆入力◆⑤「4個同時放水」計算!$AL$69:$AQ$69,◆入力◆⑤「4個同時放水」計算!$AL$70:$AQ$70),IF($U25="止水栓",LOOKUP($I26,◆入力◆⑤「4個同時放水」計算!$AL$69:$AQ$69,◆入力◆⑤「4個同時放水」計算!$AL$71:$AQ$71),IF($U25="分水栓",LOOKUP($I26,◆入力◆⑤「4個同時放水」計算!$AL$69:$AQ$69,◆入力◆⑤「4個同時放水」計算!$AL$72:$AQ$72),IF($U25="巻き出しフレキ",LOOKUP($I26,◆入力◆⑤「4個同時放水」計算!$AL$69:$AQ$69,◆入力◆⑤「4個同時放水」計算!$AL$73:$AQ$73),IF($U25="",0,0)))))))</f>
        <v>0</v>
      </c>
      <c r="AE25" s="86">
        <f>IF($U25="仕切弁",LOOKUP($I26,◆入力◆⑤「4個同時放水」計算!$AL$15:$AX$15,◆入力◆⑤「4個同時放水」計算!$AL$20:$AX$20),IF($U25="逆止弁",LOOKUP($I26,◆入力◆⑤「4個同時放水」計算!$AL$15:$AX$15,◆入力◆⑤「4個同時放水」計算!$AL$21:$AX$21),IF($U25="水道メーター",LOOKUP($I26,◆入力◆⑤「4個同時放水」計算!$AL$69:$AQ$69,◆入力◆⑤「4個同時放水」計算!$AL$70:$AQ$70),IF($U25="止水栓",LOOKUP($I26,◆入力◆⑤「4個同時放水」計算!$AL$69:$AQ$69,◆入力◆⑤「4個同時放水」計算!$AL$71:$AQ$71),IF($U25="分水栓",LOOKUP($I26,◆入力◆⑤「4個同時放水」計算!$AL$69:$AQ$69,◆入力◆⑤「4個同時放水」計算!$AL$72:$AQ$72),IF($U25="巻き出しフレキ",LOOKUP($I26,◆入力◆⑤「4個同時放水」計算!$AL$69:$AQ$69,◆入力◆⑤「4個同時放水」計算!$AL$73:$AQ$73),IF($U25="",0,0)))))))</f>
        <v>0</v>
      </c>
      <c r="AF25" s="86">
        <f>IF($U25="仕切弁",LOOKUP($I26,◆入力◆⑤「4個同時放水」計算!$AL$26:$AX$26,◆入力◆⑤「4個同時放水」計算!$AL$31:$AX$31),IF($U25="逆止弁",LOOKUP($I26,◆入力◆⑤「4個同時放水」計算!$AL$26:$AX$26,◆入力◆⑤「4個同時放水」計算!$AL$32:$AX$32),IF($U25="水道メーター",LOOKUP($I26,◆入力◆⑤「4個同時放水」計算!$AL$69:$AQ$69,◆入力◆⑤「4個同時放水」計算!$AL$70:$AQ$70),IF($U25="止水栓",LOOKUP($I26,◆入力◆⑤「4個同時放水」計算!$AL$69:$AQ$69,◆入力◆⑤「4個同時放水」計算!$AL$71:$AQ$71),IF($U25="分水栓",LOOKUP($I26,◆入力◆⑤「4個同時放水」計算!$AL$69:$AQ$69,◆入力◆⑤「4個同時放水」計算!$AL$72:$AQ$72),IF($U25="巻き出しフレキ",LOOKUP($I26,◆入力◆⑤「4個同時放水」計算!$AL$69:$AQ$69,◆入力◆⑤「4個同時放水」計算!$AL$73:$AQ$73),IF($U25="",0,0)))))))</f>
        <v>0</v>
      </c>
      <c r="AG25" s="86">
        <f>IF($U25="仕切弁",LOOKUP($I26,◆入力◆⑤「4個同時放水」計算!$AL$37:$AX$37,◆入力◆⑤「4個同時放水」計算!$AL$42:$AX$42),IF($U25="逆止弁",LOOKUP($I26,◆入力◆⑤「4個同時放水」計算!$AL$37:$AX$37,◆入力◆⑤「4個同時放水」計算!$AL$43:$AX$43),IF($U25="水道メーター",LOOKUP($I26,◆入力◆⑤「4個同時放水」計算!$AL$69:$AQ$69,◆入力◆⑤「4個同時放水」計算!$AL$70:$AQ$70),IF($U25="止水栓",LOOKUP($I26,◆入力◆⑤「4個同時放水」計算!$AL$69:$AQ$69,◆入力◆⑤「4個同時放水」計算!$AL$71:$AQ$71),IF($U25="分水栓",LOOKUP($I26,◆入力◆⑤「4個同時放水」計算!$AL$69:$AQ$69,◆入力◆⑤「4個同時放水」計算!$AL$72:$AQ$72),IF($U25="巻き出しフレキ",LOOKUP($I26,◆入力◆⑤「4個同時放水」計算!$AL$69:$AQ$69,◆入力◆⑤「4個同時放水」計算!$AL$73:$AQ$73),IF($U25="",0,0)))))))</f>
        <v>0</v>
      </c>
      <c r="AH25" s="86">
        <f>IF($U25="仕切弁",LOOKUP($I26,◆入力◆⑤「4個同時放水」計算!$AL$48:$AX$48,◆入力◆⑤「4個同時放水」計算!$AL$53:$AX$53),IF($U25="逆止弁",LOOKUP($I26,◆入力◆⑤「4個同時放水」計算!$AL$48:$AX$48,◆入力◆⑤「4個同時放水」計算!$AL$54:$AX$54),IF($U25="水道メーター",LOOKUP($I26,◆入力◆⑤「4個同時放水」計算!$AL$69:$AQ$69,◆入力◆⑤「4個同時放水」計算!$AL$70:$AQ$70),IF($U25="止水栓",LOOKUP($I26,◆入力◆⑤「4個同時放水」計算!$AL$69:$AQ$69,◆入力◆⑤「4個同時放水」計算!$AL$71:$AQ$71),IF($U25="分水栓",LOOKUP($I26,◆入力◆⑤「4個同時放水」計算!$AL$69:$AQ$69,◆入力◆⑤「4個同時放水」計算!$AL$72:$AQ$72),IF($U25="巻き出しフレキ",LOOKUP($I26,◆入力◆⑤「4個同時放水」計算!$AL$69:$AQ$69,◆入力◆⑤「4個同時放水」計算!$AL$73:$AQ$73),IF($U25="",0,0)))))))</f>
        <v>0</v>
      </c>
      <c r="AI25" s="86">
        <f>IF($U25="仕切弁",LOOKUP($I26,◆入力◆⑤「4個同時放水」計算!$AL$59:$AX$59,◆入力◆⑤「4個同時放水」計算!$AL$64:$AX$64),IF($U25="逆止弁",LOOKUP($I26,◆入力◆⑤「4個同時放水」計算!$AL$59:$AX$59,◆入力◆⑤「4個同時放水」計算!$AL$65:$AX$65),IF($U25="水道メーター",LOOKUP($I26,◆入力◆⑤「4個同時放水」計算!$AL$69:$AQ$69,◆入力◆⑤「4個同時放水」計算!$AL$70:$AQ$70),IF($U25="止水栓",LOOKUP($I26,◆入力◆⑤「4個同時放水」計算!$AL$69:$AQ$69,◆入力◆⑤「4個同時放水」計算!$AL$71:$AQ$71),IF($U25="分水栓",LOOKUP($I26,◆入力◆⑤「4個同時放水」計算!$AL$69:$AQ$69,◆入力◆⑤「4個同時放水」計算!$AL$72:$AQ$72),IF($U25="巻き出しフレキ",LOOKUP($I26,◆入力◆⑤「4個同時放水」計算!$AL$69:$AQ$69,◆入力◆⑤「4個同時放水」計算!$AL$73:$AQ$73),IF($U25="",0,0)))))))</f>
        <v>0</v>
      </c>
      <c r="AJ25" s="144"/>
      <c r="AK25" s="104" t="s">
        <v>62</v>
      </c>
      <c r="AM25" s="105"/>
      <c r="AO25" s="106" t="s">
        <v>58</v>
      </c>
      <c r="AY25" s="40"/>
      <c r="AZ25" s="40"/>
      <c r="BA25" s="40"/>
      <c r="BB25" s="180"/>
      <c r="BC25" s="40"/>
      <c r="BD25" s="40"/>
      <c r="BE25" s="40"/>
      <c r="BF25" s="40"/>
      <c r="BG25" s="40"/>
      <c r="BK25" s="40"/>
      <c r="BL25" s="40"/>
      <c r="BM25" s="40"/>
      <c r="BN25" s="40"/>
      <c r="BO25" s="40"/>
      <c r="BP25" s="40"/>
      <c r="BQ25" s="40"/>
      <c r="BR25" s="40"/>
      <c r="BS25" s="40"/>
      <c r="BT25" s="40"/>
    </row>
    <row r="26" spans="6:72" x14ac:dyDescent="0.15">
      <c r="F26" s="235"/>
      <c r="G26" s="40"/>
      <c r="H26" s="186">
        <f>IF(H25=6,"⑥－⑦",IF(H25=5,"⑤－⑥",0))</f>
        <v>0</v>
      </c>
      <c r="I26" s="170"/>
      <c r="J26" s="40"/>
      <c r="K26" s="171" t="str">
        <f>IF(I26="","",K23)</f>
        <v/>
      </c>
      <c r="L26" s="74">
        <f>IF(I26="",0,IF(I26&gt;=65,K26^1.85*0.012/I27^4.87,ROUNDUP((0.0126+(0.01739-(0.1087*I27/100))/SQRT(4*K26/(60000*PI()*(I27/100)^2)))*(1/(I27/100))*((4*K26/(60000*PI()*(I27/100)^2))^2/(2*9.8)),4)))</f>
        <v>0</v>
      </c>
      <c r="M26" s="172"/>
      <c r="N26" s="84">
        <f>ROUNDUP(L26*M26,2)</f>
        <v>0</v>
      </c>
      <c r="O26" s="87" t="str">
        <f>IF(I26="","","Ｔ直")</f>
        <v/>
      </c>
      <c r="P26" s="174"/>
      <c r="Q26" s="88">
        <f>IF(I26=0,0,IF(I25="SGP-VB",LOOKUP(I26,◆入力◆⑤「4個同時放水」計算!$AL$4:$AX$4,◆入力◆⑤「4個同時放水」計算!$AL$7:$AX$7),IF(I25="SGP-PB",LOOKUP(I26,◆入力◆⑤「4個同時放水」計算!$AL$15:$AX$15,◆入力◆⑤「4個同時放水」計算!$AL$18:$AX$18),IF(I25="HIVP",LOOKUP(I26,◆入力◆⑤「4個同時放水」計算!$AL$26:$AX$26,◆入力◆⑤「4個同時放水」計算!$AL$29:$AX$29),IF(OR(I25="SGP",I25="フレキ"),LOOKUP(I26,◆入力◆⑤「4個同時放水」計算!$AL$37:$AX$37,◆入力◆⑤「4個同時放水」計算!$AL$40:$AX$40),IF(I25="SUS",LOOKUP(I26,◆入力◆⑤「4個同時放水」計算!$AL$48:$AX$48,◆入力◆⑤「4個同時放水」計算!$AL$51:$AX$51),IF(OR(I25="PE",I25="PP"),LOOKUP(I26,◆入力◆⑤「4個同時放水」計算!$AL$59:$AX$59,◆入力◆⑤「4個同時放水」計算!$AL$62:$AX$62))))))))</f>
        <v>0</v>
      </c>
      <c r="R26" s="82">
        <f t="shared" si="0"/>
        <v>0</v>
      </c>
      <c r="S26" s="83">
        <f>R25+R26+R27</f>
        <v>0</v>
      </c>
      <c r="T26" s="84">
        <f>ROUNDUP(L26*S26,2)</f>
        <v>0</v>
      </c>
      <c r="U26" s="177"/>
      <c r="V26" s="174"/>
      <c r="W26" s="82">
        <f>IF($U26="Yスト",AC26,IF($I25="sgp-vb",AD26,IF($I25="sgp-pb",AE26,IF($I25="hivp",AF26,IF(OR($I25="sgp",$I25="フレキ"),AG26,IF($I25="sus",AH26,IF(OR($I25="PE",$I25="PP"),AI26,0)))))))</f>
        <v>0</v>
      </c>
      <c r="X26" s="82">
        <f t="shared" si="1"/>
        <v>0</v>
      </c>
      <c r="Y26" s="83">
        <f>SUM(X25:X27)</f>
        <v>0</v>
      </c>
      <c r="Z26" s="84">
        <f t="shared" ref="Z26" si="15">IF(AND($U26="電動弁",$V26=1),LOOKUP($K26,$AL$76:$BQ$76,$AL$77:$BQ$77),IF(AND($U26="逆流防止装置E",$V26=1),LOOKUP($I26,$AN$105:$AQ$105,$AN121:$AQ121),IF(AND($U26="逆流防止装置K",$V26=1),LOOKUP($I26,$AN$105:$AQ$105,$AN122:$AQ122),IF(AND($U26="逆流防止装置T",$V26=1),LOOKUP($I26,$AN$105:$AQ$105,$AN123:$AQ123),0))))</f>
        <v>0</v>
      </c>
      <c r="AA26" s="40"/>
      <c r="AB26" s="84">
        <f>N26+T26+Z25+Z26+Z27</f>
        <v>0</v>
      </c>
      <c r="AC26" s="89">
        <f>IF(U26="Yスト",IF(I25="SGP-VB",LOOKUP(I26,◆入力◆⑤「4個同時放水」計算!$AL$4:$AX$4,◆入力◆⑤「4個同時放水」計算!$AL$11:$AX$11),IF(I25="SGP-PB",LOOKUP(I26,◆入力◆⑤「4個同時放水」計算!$AL$15:$AX$15,◆入力◆⑤「4個同時放水」計算!$AL$22:$AX$22),IF(I25="HIVP",LOOKUP(I26,◆入力◆⑤「4個同時放水」計算!$AL$26:$AX$26,◆入力◆⑤「4個同時放水」計算!$AL$33:$AX$33),IF(OR(I25="SGP",I25="フレキ"),LOOKUP(I26,◆入力◆⑤「4個同時放水」計算!$AL$37:$AX$37,◆入力◆⑤「4個同時放水」計算!$AL$44:$AX$44),IF(I25="SUS",LOOKUP(I26,◆入力◆⑤「4個同時放水」計算!$AL$48:$AX$48,◆入力◆⑤「4個同時放水」計算!$AL$55:$AX$55),IF(OR(I25="PE",I25="PP"),LOOKUP(I26,◆入力◆⑤「4個同時放水」計算!$AL$59:$AX$59,◆入力◆⑤「4個同時放水」計算!$AL$66:$AX$66))))))),0)</f>
        <v>0</v>
      </c>
      <c r="AD26" s="90">
        <f>IF($U26="仕切弁",LOOKUP($I26,◆入力◆⑤「4個同時放水」計算!$AL$4:$AX$4,◆入力◆⑤「4個同時放水」計算!$AL$9:$AX$9),IF($U26="逆止弁",LOOKUP($I26,◆入力◆⑤「4個同時放水」計算!$AL$4:$AX$4,◆入力◆⑤「4個同時放水」計算!$AL$10:$AX$10),IF($U26="水道メーター",LOOKUP($I26,◆入力◆⑤「4個同時放水」計算!$AL$69:$AQ$69,◆入力◆⑤「4個同時放水」計算!$AL$70:$AQ$70),IF($U26="止水栓",LOOKUP($I26,◆入力◆⑤「4個同時放水」計算!$AL$69:$AQ$69,◆入力◆⑤「4個同時放水」計算!$AL$71:$AQ$71),IF($U26="分水栓",LOOKUP($I26,◆入力◆⑤「4個同時放水」計算!$AL$69:$AQ$69,◆入力◆⑤「4個同時放水」計算!$AL$72:$AQ$72),IF($U26="巻き出しフレキ",LOOKUP($I26,◆入力◆⑤「4個同時放水」計算!$AL$69:$AQ$69,◆入力◆⑤「4個同時放水」計算!$AL$73:$AQ$73),IF($U26="",0,0)))))))</f>
        <v>0</v>
      </c>
      <c r="AE26" s="90">
        <f>IF($U26="仕切弁",LOOKUP($I26,◆入力◆⑤「4個同時放水」計算!$AL$15:$AX$15,◆入力◆⑤「4個同時放水」計算!$AL$20:$AX$20),IF($U26="逆止弁",LOOKUP($I26,◆入力◆⑤「4個同時放水」計算!$AL$15:$AX$15,◆入力◆⑤「4個同時放水」計算!$AL$21:$AX$21),IF($U26="水道メーター",LOOKUP($I26,◆入力◆⑤「4個同時放水」計算!$AL$69:$AQ$69,◆入力◆⑤「4個同時放水」計算!$AL$70:$AQ$70),IF($U26="止水栓",LOOKUP($I26,◆入力◆⑤「4個同時放水」計算!$AL$69:$AQ$69,◆入力◆⑤「4個同時放水」計算!$AL$71:$AQ$71),IF($U26="分水栓",LOOKUP($I26,◆入力◆⑤「4個同時放水」計算!$AL$69:$AQ$69,◆入力◆⑤「4個同時放水」計算!$AL$72:$AQ$72),IF($U26="巻き出しフレキ",LOOKUP($I26,◆入力◆⑤「4個同時放水」計算!$AL$69:$AQ$69,◆入力◆⑤「4個同時放水」計算!$AL$73:$AQ$73),IF($U26="",0,0)))))))</f>
        <v>0</v>
      </c>
      <c r="AF26" s="90">
        <f>IF($U26="仕切弁",LOOKUP($I26,◆入力◆⑤「4個同時放水」計算!$AL$26:$AX$26,◆入力◆⑤「4個同時放水」計算!$AL$31:$AX$31),IF($U26="逆止弁",LOOKUP($I26,◆入力◆⑤「4個同時放水」計算!$AL$26:$AX$26,◆入力◆⑤「4個同時放水」計算!$AL$32:$AX$32),IF($U26="水道メーター",LOOKUP($I26,◆入力◆⑤「4個同時放水」計算!$AL$69:$AQ$69,◆入力◆⑤「4個同時放水」計算!$AL$70:$AQ$70),IF($U26="止水栓",LOOKUP($I26,◆入力◆⑤「4個同時放水」計算!$AL$69:$AQ$69,◆入力◆⑤「4個同時放水」計算!$AL$71:$AQ$71),IF($U26="分水栓",LOOKUP($I26,◆入力◆⑤「4個同時放水」計算!$AL$69:$AQ$69,◆入力◆⑤「4個同時放水」計算!$AL$72:$AQ$72),IF($U26="巻き出しフレキ",LOOKUP($I26,◆入力◆⑤「4個同時放水」計算!$AL$69:$AQ$69,◆入力◆⑤「4個同時放水」計算!$AL$73:$AQ$73),IF($U26="",0,0)))))))</f>
        <v>0</v>
      </c>
      <c r="AG26" s="90">
        <f>IF($U26="仕切弁",LOOKUP($I26,◆入力◆⑤「4個同時放水」計算!$AL$37:$AX$37,◆入力◆⑤「4個同時放水」計算!$AL$42:$AX$42),IF($U26="逆止弁",LOOKUP($I26,◆入力◆⑤「4個同時放水」計算!$AL$37:$AX$37,◆入力◆⑤「4個同時放水」計算!$AL$43:$AX$43),IF($U26="水道メーター",LOOKUP($I26,◆入力◆⑤「4個同時放水」計算!$AL$69:$AQ$69,◆入力◆⑤「4個同時放水」計算!$AL$70:$AQ$70),IF($U26="止水栓",LOOKUP($I26,◆入力◆⑤「4個同時放水」計算!$AL$69:$AQ$69,◆入力◆⑤「4個同時放水」計算!$AL$71:$AQ$71),IF($U26="分水栓",LOOKUP($I26,◆入力◆⑤「4個同時放水」計算!$AL$69:$AQ$69,◆入力◆⑤「4個同時放水」計算!$AL$72:$AQ$72),IF($U26="巻き出しフレキ",LOOKUP($I26,◆入力◆⑤「4個同時放水」計算!$AL$69:$AQ$69,◆入力◆⑤「4個同時放水」計算!$AL$73:$AQ$73),IF($U26="",0,0)))))))</f>
        <v>0</v>
      </c>
      <c r="AH26" s="90">
        <f>IF($U26="仕切弁",LOOKUP($I26,◆入力◆⑤「4個同時放水」計算!$AL$48:$AX$48,◆入力◆⑤「4個同時放水」計算!$AL$53:$AX$53),IF($U26="逆止弁",LOOKUP($I26,◆入力◆⑤「4個同時放水」計算!$AL$48:$AX$48,◆入力◆⑤「4個同時放水」計算!$AL$54:$AX$54),IF($U26="水道メーター",LOOKUP($I26,◆入力◆⑤「4個同時放水」計算!$AL$69:$AQ$69,◆入力◆⑤「4個同時放水」計算!$AL$70:$AQ$70),IF($U26="止水栓",LOOKUP($I26,◆入力◆⑤「4個同時放水」計算!$AL$69:$AQ$69,◆入力◆⑤「4個同時放水」計算!$AL$71:$AQ$71),IF($U26="分水栓",LOOKUP($I26,◆入力◆⑤「4個同時放水」計算!$AL$69:$AQ$69,◆入力◆⑤「4個同時放水」計算!$AL$72:$AQ$72),IF($U26="巻き出しフレキ",LOOKUP($I26,◆入力◆⑤「4個同時放水」計算!$AL$69:$AQ$69,◆入力◆⑤「4個同時放水」計算!$AL$73:$AQ$73),IF($U26="",0,0)))))))</f>
        <v>0</v>
      </c>
      <c r="AI26" s="90">
        <f>IF($U26="仕切弁",LOOKUP($I26,◆入力◆⑤「4個同時放水」計算!$AL$59:$AX$59,◆入力◆⑤「4個同時放水」計算!$AL$64:$AX$64),IF($U26="逆止弁",LOOKUP($I26,◆入力◆⑤「4個同時放水」計算!$AL$59:$AX$59,◆入力◆⑤「4個同時放水」計算!$AL$65:$AX$65),IF($U26="水道メーター",LOOKUP($I26,◆入力◆⑤「4個同時放水」計算!$AL$69:$AQ$69,◆入力◆⑤「4個同時放水」計算!$AL$70:$AQ$70),IF($U26="止水栓",LOOKUP($I26,◆入力◆⑤「4個同時放水」計算!$AL$69:$AQ$69,◆入力◆⑤「4個同時放水」計算!$AL$71:$AQ$71),IF($U26="分水栓",LOOKUP($I26,◆入力◆⑤「4個同時放水」計算!$AL$69:$AQ$69,◆入力◆⑤「4個同時放水」計算!$AL$72:$AQ$72),IF($U26="巻き出しフレキ",LOOKUP($I26,◆入力◆⑤「4個同時放水」計算!$AL$69:$AQ$69,◆入力◆⑤「4個同時放水」計算!$AL$73:$AQ$73),IF($U26="",0,0)))))))</f>
        <v>0</v>
      </c>
      <c r="AJ26" s="183"/>
      <c r="AK26" s="57" t="s">
        <v>75</v>
      </c>
      <c r="AL26" s="58">
        <v>13</v>
      </c>
      <c r="AM26" s="58">
        <v>16</v>
      </c>
      <c r="AN26" s="58">
        <v>20</v>
      </c>
      <c r="AO26" s="58">
        <v>25</v>
      </c>
      <c r="AP26" s="58">
        <v>30</v>
      </c>
      <c r="AQ26" s="58">
        <v>40</v>
      </c>
      <c r="AR26" s="58">
        <v>50</v>
      </c>
      <c r="AS26" s="58">
        <v>65</v>
      </c>
      <c r="AT26" s="58">
        <v>75</v>
      </c>
      <c r="AU26" s="58">
        <v>100</v>
      </c>
      <c r="AV26" s="58">
        <v>125</v>
      </c>
      <c r="AW26" s="58"/>
      <c r="AX26" s="58"/>
      <c r="AY26" s="40"/>
      <c r="AZ26" s="40"/>
      <c r="BA26" s="40"/>
      <c r="BB26" s="180"/>
      <c r="BC26" s="40"/>
      <c r="BD26" s="40"/>
      <c r="BE26" s="40"/>
      <c r="BF26" s="40"/>
      <c r="BG26" s="40"/>
      <c r="BK26" s="40"/>
      <c r="BL26" s="40"/>
      <c r="BM26" s="40"/>
      <c r="BN26" s="40"/>
      <c r="BO26" s="40"/>
      <c r="BP26" s="40"/>
      <c r="BQ26" s="40"/>
      <c r="BR26" s="40"/>
      <c r="BS26" s="40"/>
      <c r="BT26" s="40"/>
    </row>
    <row r="27" spans="6:72" x14ac:dyDescent="0.15">
      <c r="F27" s="235"/>
      <c r="G27" s="40"/>
      <c r="H27" s="149"/>
      <c r="I27" s="91">
        <f>IF(I26="",0,IF(I25="SGP-VB",LOOKUP(I26,◆入力◆⑤「4個同時放水」計算!$AL$4:$AX$4,◆入力◆⑤「4個同時放水」計算!$AL$5:$AX$5),IF(I25="SGP-PB",LOOKUP(I26,◆入力◆⑤「4個同時放水」計算!$AL$15:$AX$15,◆入力◆⑤「4個同時放水」計算!$AL$16:$AX$16),IF(I25="HIVP",LOOKUP(I26,◆入力◆⑤「4個同時放水」計算!$AL$26:$AX$26,◆入力◆⑤「4個同時放水」計算!$AL$27:$AX$27),IF(OR(I25="SGP",I25="フレキ"),LOOKUP(I26,◆入力◆⑤「4個同時放水」計算!$AL$37:$AX$37,◆入力◆⑤「4個同時放水」計算!$AL$38:$AX$38),IF(I25="SUS",LOOKUP(I26,◆入力◆⑤「4個同時放水」計算!$AL$48:$AX$48,◆入力◆⑤「4個同時放水」計算!$AL$49:$AX$49),IF(OR(I25="PE",I25="PP"),LOOKUP(I26,◆入力◆⑤「4個同時放水」計算!$AL$59:$AX$59,◆入力◆⑤「4個同時放水」計算!$AL$60:$AX$60))))))))</f>
        <v>0</v>
      </c>
      <c r="J27" s="40"/>
      <c r="K27" s="97"/>
      <c r="L27" s="98"/>
      <c r="M27" s="99"/>
      <c r="N27" s="93"/>
      <c r="O27" s="87" t="str">
        <f>IF(I26="","","Ｔ分")</f>
        <v/>
      </c>
      <c r="P27" s="175"/>
      <c r="Q27" s="88">
        <f>IF(I26=0,0,IF(I25="SGP-VB",LOOKUP(I26,◆入力◆⑤「4個同時放水」計算!$AL$4:$AX$4,◆入力◆⑤「4個同時放水」計算!$AL$8:$AX$8),IF(I25="SGP-PB",LOOKUP(I26,◆入力◆⑤「4個同時放水」計算!$AL$15:$AX$15,◆入力◆⑤「4個同時放水」計算!$AL$19:$AX$19),IF(I25="HIVP",LOOKUP(I26,◆入力◆⑤「4個同時放水」計算!$AL$26:$AX$26,◆入力◆⑤「4個同時放水」計算!$AL$30:$AX$30),IF(OR(I25="SGP",I25="フレキ"),LOOKUP(I26,◆入力◆⑤「4個同時放水」計算!$AL$37:$AX$37,◆入力◆⑤「4個同時放水」計算!$AL$41:$AX$41),IF(I25="SUS",LOOKUP(I26,◆入力◆⑤「4個同時放水」計算!$AL$48:$AX$48,◆入力◆⑤「4個同時放水」計算!$AL$52:$AX$52),IF(OR(I25="PE",I25="PP"),LOOKUP(I26,◆入力◆⑤「4個同時放水」計算!$AL$59:$AX$59,◆入力◆⑤「4個同時放水」計算!$AL$63:$AX$63))))))))</f>
        <v>0</v>
      </c>
      <c r="R27" s="100">
        <f t="shared" si="0"/>
        <v>0</v>
      </c>
      <c r="S27" s="101"/>
      <c r="T27" s="92"/>
      <c r="U27" s="178"/>
      <c r="V27" s="175"/>
      <c r="W27" s="100">
        <f>IF($U27="Yスト",AC27,IF($I25="sgp-vb",AD27,IF($I25="sgp-pb",AE27,IF($I25="hivp",AF27,IF(OR($I25="sgp",$I25="フレキ"),AG27,IF($I25="sus",AH27,IF(OR($I25="PE",$I25="PP"),AI27,0)))))))</f>
        <v>0</v>
      </c>
      <c r="X27" s="100">
        <f t="shared" si="1"/>
        <v>0</v>
      </c>
      <c r="Y27" s="101"/>
      <c r="Z27" s="92">
        <f t="shared" ref="Z27" si="16">ROUNDUP(L26*Y26,2)</f>
        <v>0</v>
      </c>
      <c r="AA27" s="40"/>
      <c r="AB27" s="76"/>
      <c r="AC27" s="90">
        <f>IF(U27="Yスト",IF(I25="SGP-VB",LOOKUP(I26,◆入力◆⑤「4個同時放水」計算!$AL$4:$AX$4,◆入力◆⑤「4個同時放水」計算!$AL$11:$AX$11),IF(I25="SGP-PB",LOOKUP(I26,◆入力◆⑤「4個同時放水」計算!$AL$15:$AX$15,◆入力◆⑤「4個同時放水」計算!$AL$22:$AX$22),IF(I25="HIVP",LOOKUP(I26,◆入力◆⑤「4個同時放水」計算!$AL$26:$AX$26,◆入力◆⑤「4個同時放水」計算!$AL$33:$AX$33),IF(OR(I25="SGP",I25="フレキ"),LOOKUP(I26,◆入力◆⑤「4個同時放水」計算!$AL$37:$AX$37,◆入力◆⑤「4個同時放水」計算!$AL$44:$AX$44),IF(I25="SUS",LOOKUP(I26,◆入力◆⑤「4個同時放水」計算!$AL$48:$AX$48,◆入力◆⑤「4個同時放水」計算!$AL$55:$AX$55),IF(OR(I25="PE",I25="PP"),LOOKUP(I26,◆入力◆⑤「4個同時放水」計算!$AL$59:$AX$59,◆入力◆⑤「4個同時放水」計算!$AL$66:$AX$66))))))),0)</f>
        <v>0</v>
      </c>
      <c r="AD27" s="90">
        <f>IF($U27="仕切弁",LOOKUP($I26,◆入力◆⑤「4個同時放水」計算!$AL$4:$AX$4,◆入力◆⑤「4個同時放水」計算!$AL$9:$AX$9),IF($U27="逆止弁",LOOKUP($I26,◆入力◆⑤「4個同時放水」計算!$AL$4:$AX$4,◆入力◆⑤「4個同時放水」計算!$AL$10:$AX$10),IF($U27="水道メーター",LOOKUP($I26,◆入力◆⑤「4個同時放水」計算!$AL$69:$AQ$69,◆入力◆⑤「4個同時放水」計算!$AL$70:$AQ$70),IF($U27="止水栓",LOOKUP($I26,◆入力◆⑤「4個同時放水」計算!$AL$69:$AQ$69,◆入力◆⑤「4個同時放水」計算!$AL$71:$AQ$71),IF($U27="分水栓",LOOKUP($I26,◆入力◆⑤「4個同時放水」計算!$AL$69:$AQ$69,◆入力◆⑤「4個同時放水」計算!$AL$72:$AQ$72),IF($U27="巻き出しフレキ",LOOKUP($I26,◆入力◆⑤「4個同時放水」計算!$AL$69:$AQ$69,◆入力◆⑤「4個同時放水」計算!$AL$73:$AQ$73),IF($U27="",0,0)))))))</f>
        <v>0</v>
      </c>
      <c r="AE27" s="90">
        <f>IF($U27="仕切弁",LOOKUP($I26,◆入力◆⑤「4個同時放水」計算!$AL$15:$AX$15,◆入力◆⑤「4個同時放水」計算!$AL$20:$AX$20),IF($U27="逆止弁",LOOKUP($I26,◆入力◆⑤「4個同時放水」計算!$AL$15:$AX$15,◆入力◆⑤「4個同時放水」計算!$AL$21:$AX$21),IF($U27="水道メーター",LOOKUP($I26,◆入力◆⑤「4個同時放水」計算!$AL$69:$AQ$69,◆入力◆⑤「4個同時放水」計算!$AL$70:$AQ$70),IF($U27="止水栓",LOOKUP($I26,◆入力◆⑤「4個同時放水」計算!$AL$69:$AQ$69,◆入力◆⑤「4個同時放水」計算!$AL$71:$AQ$71),IF($U27="分水栓",LOOKUP($I26,◆入力◆⑤「4個同時放水」計算!$AL$69:$AQ$69,◆入力◆⑤「4個同時放水」計算!$AL$72:$AQ$72),IF($U27="巻き出しフレキ",LOOKUP($I26,◆入力◆⑤「4個同時放水」計算!$AL$69:$AQ$69,◆入力◆⑤「4個同時放水」計算!$AL$73:$AQ$73),IF($U27="",0,0)))))))</f>
        <v>0</v>
      </c>
      <c r="AF27" s="90">
        <f>IF($U27="仕切弁",LOOKUP($I26,◆入力◆⑤「4個同時放水」計算!$AL$26:$AX$26,◆入力◆⑤「4個同時放水」計算!$AL$31:$AX$31),IF($U27="逆止弁",LOOKUP($I26,◆入力◆⑤「4個同時放水」計算!$AL$26:$AX$26,◆入力◆⑤「4個同時放水」計算!$AL$32:$AX$32),IF($U27="水道メーター",LOOKUP($I26,◆入力◆⑤「4個同時放水」計算!$AL$69:$AQ$69,◆入力◆⑤「4個同時放水」計算!$AL$70:$AQ$70),IF($U27="止水栓",LOOKUP($I26,◆入力◆⑤「4個同時放水」計算!$AL$69:$AQ$69,◆入力◆⑤「4個同時放水」計算!$AL$71:$AQ$71),IF($U27="分水栓",LOOKUP($I26,◆入力◆⑤「4個同時放水」計算!$AL$69:$AQ$69,◆入力◆⑤「4個同時放水」計算!$AL$72:$AQ$72),IF($U27="巻き出しフレキ",LOOKUP($I26,◆入力◆⑤「4個同時放水」計算!$AL$69:$AQ$69,◆入力◆⑤「4個同時放水」計算!$AL$73:$AQ$73),IF($U27="",0,0)))))))</f>
        <v>0</v>
      </c>
      <c r="AG27" s="90">
        <f>IF($U27="仕切弁",LOOKUP($I26,◆入力◆⑤「4個同時放水」計算!$AL$37:$AX$37,◆入力◆⑤「4個同時放水」計算!$AL$42:$AX$42),IF($U27="逆止弁",LOOKUP($I26,◆入力◆⑤「4個同時放水」計算!$AL$37:$AX$37,◆入力◆⑤「4個同時放水」計算!$AL$43:$AX$43),IF($U27="水道メーター",LOOKUP($I26,◆入力◆⑤「4個同時放水」計算!$AL$69:$AQ$69,◆入力◆⑤「4個同時放水」計算!$AL$70:$AQ$70),IF($U27="止水栓",LOOKUP($I26,◆入力◆⑤「4個同時放水」計算!$AL$69:$AQ$69,◆入力◆⑤「4個同時放水」計算!$AL$71:$AQ$71),IF($U27="分水栓",LOOKUP($I26,◆入力◆⑤「4個同時放水」計算!$AL$69:$AQ$69,◆入力◆⑤「4個同時放水」計算!$AL$72:$AQ$72),IF($U27="巻き出しフレキ",LOOKUP($I26,◆入力◆⑤「4個同時放水」計算!$AL$69:$AQ$69,◆入力◆⑤「4個同時放水」計算!$AL$73:$AQ$73),IF($U27="",0,0)))))))</f>
        <v>0</v>
      </c>
      <c r="AH27" s="90">
        <f>IF($U27="仕切弁",LOOKUP($I26,◆入力◆⑤「4個同時放水」計算!$AL$48:$AX$48,◆入力◆⑤「4個同時放水」計算!$AL$53:$AX$53),IF($U27="逆止弁",LOOKUP($I26,◆入力◆⑤「4個同時放水」計算!$AL$48:$AX$48,◆入力◆⑤「4個同時放水」計算!$AL$54:$AX$54),IF($U27="水道メーター",LOOKUP($I26,◆入力◆⑤「4個同時放水」計算!$AL$69:$AQ$69,◆入力◆⑤「4個同時放水」計算!$AL$70:$AQ$70),IF($U27="止水栓",LOOKUP($I26,◆入力◆⑤「4個同時放水」計算!$AL$69:$AQ$69,◆入力◆⑤「4個同時放水」計算!$AL$71:$AQ$71),IF($U27="分水栓",LOOKUP($I26,◆入力◆⑤「4個同時放水」計算!$AL$69:$AQ$69,◆入力◆⑤「4個同時放水」計算!$AL$72:$AQ$72),IF($U27="巻き出しフレキ",LOOKUP($I26,◆入力◆⑤「4個同時放水」計算!$AL$69:$AQ$69,◆入力◆⑤「4個同時放水」計算!$AL$73:$AQ$73),IF($U27="",0,0)))))))</f>
        <v>0</v>
      </c>
      <c r="AI27" s="90">
        <f>IF($U27="仕切弁",LOOKUP($I26,◆入力◆⑤「4個同時放水」計算!$AL$59:$AX$59,◆入力◆⑤「4個同時放水」計算!$AL$64:$AX$64),IF($U27="逆止弁",LOOKUP($I26,◆入力◆⑤「4個同時放水」計算!$AL$59:$AX$59,◆入力◆⑤「4個同時放水」計算!$AL$65:$AX$65),IF($U27="水道メーター",LOOKUP($I26,◆入力◆⑤「4個同時放水」計算!$AL$69:$AQ$69,◆入力◆⑤「4個同時放水」計算!$AL$70:$AQ$70),IF($U27="止水栓",LOOKUP($I26,◆入力◆⑤「4個同時放水」計算!$AL$69:$AQ$69,◆入力◆⑤「4個同時放水」計算!$AL$71:$AQ$71),IF($U27="分水栓",LOOKUP($I26,◆入力◆⑤「4個同時放水」計算!$AL$69:$AQ$69,◆入力◆⑤「4個同時放水」計算!$AL$72:$AQ$72),IF($U27="巻き出しフレキ",LOOKUP($I26,◆入力◆⑤「4個同時放水」計算!$AL$69:$AQ$69,◆入力◆⑤「4個同時放水」計算!$AL$73:$AQ$73),IF($U27="",0,0)))))))</f>
        <v>0</v>
      </c>
      <c r="AJ27" s="144"/>
      <c r="AK27" s="57" t="s">
        <v>76</v>
      </c>
      <c r="AL27" s="63">
        <v>1.3</v>
      </c>
      <c r="AM27" s="63">
        <v>1.6</v>
      </c>
      <c r="AN27" s="63">
        <v>2</v>
      </c>
      <c r="AO27" s="63">
        <v>2.5</v>
      </c>
      <c r="AP27" s="63">
        <v>3.1</v>
      </c>
      <c r="AQ27" s="63">
        <v>4</v>
      </c>
      <c r="AR27" s="63">
        <v>5.0999999999999996</v>
      </c>
      <c r="AS27" s="63">
        <v>6.7</v>
      </c>
      <c r="AT27" s="63">
        <v>7.7</v>
      </c>
      <c r="AU27" s="63">
        <v>10</v>
      </c>
      <c r="AV27" s="63">
        <v>12.5</v>
      </c>
      <c r="AW27" s="103"/>
      <c r="AX27" s="103"/>
      <c r="AY27" s="40"/>
      <c r="AZ27" s="40"/>
      <c r="BA27" s="40"/>
      <c r="BB27" s="180"/>
      <c r="BC27" s="40"/>
      <c r="BD27" s="40"/>
      <c r="BE27" s="40"/>
      <c r="BF27" s="40"/>
      <c r="BG27" s="40"/>
      <c r="BK27" s="40"/>
      <c r="BL27" s="40"/>
      <c r="BM27" s="40"/>
      <c r="BN27" s="40"/>
      <c r="BO27" s="40"/>
      <c r="BP27" s="40"/>
      <c r="BQ27" s="40"/>
      <c r="BR27" s="40"/>
      <c r="BS27" s="40"/>
      <c r="BT27" s="40"/>
    </row>
    <row r="28" spans="6:72" x14ac:dyDescent="0.15">
      <c r="F28" s="235" t="s">
        <v>27</v>
      </c>
      <c r="G28" s="40"/>
      <c r="H28" s="168"/>
      <c r="I28" s="189" t="str">
        <f>IF(H28="","",◆入力◆①配管容量!$M$3)</f>
        <v/>
      </c>
      <c r="J28" s="40"/>
      <c r="K28" s="73"/>
      <c r="L28" s="74"/>
      <c r="M28" s="75"/>
      <c r="N28" s="76"/>
      <c r="O28" s="77" t="str">
        <f>IF(I29="","","E９０°")</f>
        <v/>
      </c>
      <c r="P28" s="173"/>
      <c r="Q28" s="78">
        <f>IF(I29=0,0,IF(I28="SGP-VB",LOOKUP(I29,◆入力◆⑤「4個同時放水」計算!$AL$4:$AX$4,◆入力◆⑤「4個同時放水」計算!$AL$6:$AX$6),IF(I28="SGP-PB",LOOKUP(I29,◆入力◆⑤「4個同時放水」計算!$AL$15:$AX$15,◆入力◆⑤「4個同時放水」計算!$AL$17:$AX$17),IF(I28="HIVP",LOOKUP(I29,◆入力◆⑤「4個同時放水」計算!$AL$26:$AX$26,◆入力◆⑤「4個同時放水」計算!$AL$28:$AX$28),IF(OR(I28="SGP",I28="フレキ"),LOOKUP(I29,◆入力◆⑤「4個同時放水」計算!$AL$37:$AX$37,◆入力◆⑤「4個同時放水」計算!$AL$39:$AX$39),IF(I28="SUS",LOOKUP(I29,◆入力◆⑤「4個同時放水」計算!$AL$48:$AX$48,◆入力◆⑤「4個同時放水」計算!$AL$50:$AX$50),IF(OR(I28="PE",I28="PP"),LOOKUP(I29,◆入力◆⑤「4個同時放水」計算!$AL$59:$AX$59,◆入力◆⑤「4個同時放水」計算!$AL$61:$AX$61))))))))</f>
        <v>0</v>
      </c>
      <c r="R28" s="79">
        <f t="shared" si="0"/>
        <v>0</v>
      </c>
      <c r="S28" s="80"/>
      <c r="T28" s="81">
        <v>0</v>
      </c>
      <c r="U28" s="176"/>
      <c r="V28" s="174"/>
      <c r="W28" s="82">
        <f>IF($U28="Yスト",AC28,IF($I28="sgp-vb",AD28,IF($I28="sgp-pb",AE28,IF($I28="hivp",AF28,IF(OR($I28="sgp",$I28="フレキ"),AG28,IF($I28="sus",AH28,IF(OR($I28="PE",$I28="PP"),AI28,0)))))))</f>
        <v>0</v>
      </c>
      <c r="X28" s="82">
        <f t="shared" si="1"/>
        <v>0</v>
      </c>
      <c r="Y28" s="83"/>
      <c r="Z28" s="84">
        <f t="shared" ref="Z28" si="17">IF(AND($U28="電動弁",$V28=1),LOOKUP($K29,$AL$76:$BQ$76,$AL$77:$BQ$77),IF(AND($U28="逆流防止装置E",$V28=1),LOOKUP($I29,$AN$105:$AQ$105,$AN124:$AQ124),IF(AND($U28="逆流防止装置K",$V28=1),LOOKUP($I29,$AN$105:$AQ$105,$AN125:$AQ125),IF(AND($U28="逆流防止装置T",$V28=1),LOOKUP($I29,$AN$105:$AQ$105,$AN126:$AQ126),0))))</f>
        <v>0</v>
      </c>
      <c r="AA28" s="40"/>
      <c r="AB28" s="85"/>
      <c r="AC28" s="86">
        <f>IF(U28="Yスト",IF(I28="SGP-VB",LOOKUP(I29,◆入力◆⑤「4個同時放水」計算!$AL$4:$AX$4,◆入力◆⑤「4個同時放水」計算!$AL$11:$AX$11),IF(I28="SGP-PB",LOOKUP(I29,◆入力◆⑤「4個同時放水」計算!$AL$15:$AX$15,◆入力◆⑤「4個同時放水」計算!$AL$22:$AX$22),IF(I28="HIVP",LOOKUP(I29,◆入力◆⑤「4個同時放水」計算!$AL$26:$AX$26,◆入力◆⑤「4個同時放水」計算!$AL$33:$AX$33),IF(OR(I28="SGP",I28="フレキ"),LOOKUP(I29,◆入力◆⑤「4個同時放水」計算!$AL$37:$AX$37,◆入力◆⑤「4個同時放水」計算!$AL$44:$AX$44),IF(I28="SUS",LOOKUP(I29,◆入力◆⑤「4個同時放水」計算!$AL$48:$AX$48,◆入力◆⑤「4個同時放水」計算!$AL$55:$AX$55),IF(OR(I28="PE",I28="PP"),LOOKUP(I29,◆入力◆⑤「4個同時放水」計算!$AL$59:$AX$59,◆入力◆⑤「4個同時放水」計算!$AL$66:$AX$66))))))),0)</f>
        <v>0</v>
      </c>
      <c r="AD28" s="86">
        <f>IF($U28="仕切弁",LOOKUP($I29,◆入力◆⑤「4個同時放水」計算!$AL$4:$AX$4,◆入力◆⑤「4個同時放水」計算!$AL$9:$AX$9),IF($U28="逆止弁",LOOKUP($I29,◆入力◆⑤「4個同時放水」計算!$AL$4:$AX$4,◆入力◆⑤「4個同時放水」計算!$AL$10:$AX$10),IF($U28="水道メーター",LOOKUP($I29,◆入力◆⑤「4個同時放水」計算!$AL$69:$AQ$69,◆入力◆⑤「4個同時放水」計算!$AL$70:$AQ$70),IF($U28="止水栓",LOOKUP($I29,◆入力◆⑤「4個同時放水」計算!$AL$69:$AQ$69,◆入力◆⑤「4個同時放水」計算!$AL$71:$AQ$71),IF($U28="分水栓",LOOKUP($I29,◆入力◆⑤「4個同時放水」計算!$AL$69:$AQ$69,◆入力◆⑤「4個同時放水」計算!$AL$72:$AQ$72),IF($U28="巻き出しフレキ",LOOKUP($I29,◆入力◆⑤「4個同時放水」計算!$AL$69:$AQ$69,◆入力◆⑤「4個同時放水」計算!$AL$73:$AQ$73),IF($U28="",0,0)))))))</f>
        <v>0</v>
      </c>
      <c r="AE28" s="86">
        <f>IF($U28="仕切弁",LOOKUP($I29,◆入力◆⑤「4個同時放水」計算!$AL$15:$AX$15,◆入力◆⑤「4個同時放水」計算!$AL$20:$AX$20),IF($U28="逆止弁",LOOKUP($I29,◆入力◆⑤「4個同時放水」計算!$AL$15:$AX$15,◆入力◆⑤「4個同時放水」計算!$AL$21:$AX$21),IF($U28="水道メーター",LOOKUP($I29,◆入力◆⑤「4個同時放水」計算!$AL$69:$AQ$69,◆入力◆⑤「4個同時放水」計算!$AL$70:$AQ$70),IF($U28="止水栓",LOOKUP($I29,◆入力◆⑤「4個同時放水」計算!$AL$69:$AQ$69,◆入力◆⑤「4個同時放水」計算!$AL$71:$AQ$71),IF($U28="分水栓",LOOKUP($I29,◆入力◆⑤「4個同時放水」計算!$AL$69:$AQ$69,◆入力◆⑤「4個同時放水」計算!$AL$72:$AQ$72),IF($U28="巻き出しフレキ",LOOKUP($I29,◆入力◆⑤「4個同時放水」計算!$AL$69:$AQ$69,◆入力◆⑤「4個同時放水」計算!$AL$73:$AQ$73),IF($U28="",0,0)))))))</f>
        <v>0</v>
      </c>
      <c r="AF28" s="86">
        <f>IF($U28="仕切弁",LOOKUP($I29,◆入力◆⑤「4個同時放水」計算!$AL$26:$AX$26,◆入力◆⑤「4個同時放水」計算!$AL$31:$AX$31),IF($U28="逆止弁",LOOKUP($I29,◆入力◆⑤「4個同時放水」計算!$AL$26:$AX$26,◆入力◆⑤「4個同時放水」計算!$AL$32:$AX$32),IF($U28="水道メーター",LOOKUP($I29,◆入力◆⑤「4個同時放水」計算!$AL$69:$AQ$69,◆入力◆⑤「4個同時放水」計算!$AL$70:$AQ$70),IF($U28="止水栓",LOOKUP($I29,◆入力◆⑤「4個同時放水」計算!$AL$69:$AQ$69,◆入力◆⑤「4個同時放水」計算!$AL$71:$AQ$71),IF($U28="分水栓",LOOKUP($I29,◆入力◆⑤「4個同時放水」計算!$AL$69:$AQ$69,◆入力◆⑤「4個同時放水」計算!$AL$72:$AQ$72),IF($U28="巻き出しフレキ",LOOKUP($I29,◆入力◆⑤「4個同時放水」計算!$AL$69:$AQ$69,◆入力◆⑤「4個同時放水」計算!$AL$73:$AQ$73),IF($U28="",0,0)))))))</f>
        <v>0</v>
      </c>
      <c r="AG28" s="86">
        <f>IF($U28="仕切弁",LOOKUP($I29,◆入力◆⑤「4個同時放水」計算!$AL$37:$AX$37,◆入力◆⑤「4個同時放水」計算!$AL$42:$AX$42),IF($U28="逆止弁",LOOKUP($I29,◆入力◆⑤「4個同時放水」計算!$AL$37:$AX$37,◆入力◆⑤「4個同時放水」計算!$AL$43:$AX$43),IF($U28="水道メーター",LOOKUP($I29,◆入力◆⑤「4個同時放水」計算!$AL$69:$AQ$69,◆入力◆⑤「4個同時放水」計算!$AL$70:$AQ$70),IF($U28="止水栓",LOOKUP($I29,◆入力◆⑤「4個同時放水」計算!$AL$69:$AQ$69,◆入力◆⑤「4個同時放水」計算!$AL$71:$AQ$71),IF($U28="分水栓",LOOKUP($I29,◆入力◆⑤「4個同時放水」計算!$AL$69:$AQ$69,◆入力◆⑤「4個同時放水」計算!$AL$72:$AQ$72),IF($U28="巻き出しフレキ",LOOKUP($I29,◆入力◆⑤「4個同時放水」計算!$AL$69:$AQ$69,◆入力◆⑤「4個同時放水」計算!$AL$73:$AQ$73),IF($U28="",0,0)))))))</f>
        <v>0</v>
      </c>
      <c r="AH28" s="86">
        <f>IF($U28="仕切弁",LOOKUP($I29,◆入力◆⑤「4個同時放水」計算!$AL$48:$AX$48,◆入力◆⑤「4個同時放水」計算!$AL$53:$AX$53),IF($U28="逆止弁",LOOKUP($I29,◆入力◆⑤「4個同時放水」計算!$AL$48:$AX$48,◆入力◆⑤「4個同時放水」計算!$AL$54:$AX$54),IF($U28="水道メーター",LOOKUP($I29,◆入力◆⑤「4個同時放水」計算!$AL$69:$AQ$69,◆入力◆⑤「4個同時放水」計算!$AL$70:$AQ$70),IF($U28="止水栓",LOOKUP($I29,◆入力◆⑤「4個同時放水」計算!$AL$69:$AQ$69,◆入力◆⑤「4個同時放水」計算!$AL$71:$AQ$71),IF($U28="分水栓",LOOKUP($I29,◆入力◆⑤「4個同時放水」計算!$AL$69:$AQ$69,◆入力◆⑤「4個同時放水」計算!$AL$72:$AQ$72),IF($U28="巻き出しフレキ",LOOKUP($I29,◆入力◆⑤「4個同時放水」計算!$AL$69:$AQ$69,◆入力◆⑤「4個同時放水」計算!$AL$73:$AQ$73),IF($U28="",0,0)))))))</f>
        <v>0</v>
      </c>
      <c r="AI28" s="86">
        <f>IF($U28="仕切弁",LOOKUP($I29,◆入力◆⑤「4個同時放水」計算!$AL$59:$AX$59,◆入力◆⑤「4個同時放水」計算!$AL$64:$AX$64),IF($U28="逆止弁",LOOKUP($I29,◆入力◆⑤「4個同時放水」計算!$AL$59:$AX$59,◆入力◆⑤「4個同時放水」計算!$AL$65:$AX$65),IF($U28="水道メーター",LOOKUP($I29,◆入力◆⑤「4個同時放水」計算!$AL$69:$AQ$69,◆入力◆⑤「4個同時放水」計算!$AL$70:$AQ$70),IF($U28="止水栓",LOOKUP($I29,◆入力◆⑤「4個同時放水」計算!$AL$69:$AQ$69,◆入力◆⑤「4個同時放水」計算!$AL$71:$AQ$71),IF($U28="分水栓",LOOKUP($I29,◆入力◆⑤「4個同時放水」計算!$AL$69:$AQ$69,◆入力◆⑤「4個同時放水」計算!$AL$72:$AQ$72),IF($U28="巻き出しフレキ",LOOKUP($I29,◆入力◆⑤「4個同時放水」計算!$AL$69:$AQ$69,◆入力◆⑤「4個同時放水」計算!$AL$73:$AQ$73),IF($U28="",0,0)))))))</f>
        <v>0</v>
      </c>
      <c r="AJ28" s="144"/>
      <c r="AK28" s="57" t="s">
        <v>4</v>
      </c>
      <c r="AL28" s="63">
        <v>0.5</v>
      </c>
      <c r="AM28" s="63">
        <v>0.5</v>
      </c>
      <c r="AN28" s="63">
        <v>0.5</v>
      </c>
      <c r="AO28" s="63">
        <v>0.5</v>
      </c>
      <c r="AP28" s="63">
        <v>0.8</v>
      </c>
      <c r="AQ28" s="63">
        <v>0.8</v>
      </c>
      <c r="AR28" s="63">
        <v>1.2</v>
      </c>
      <c r="AS28" s="63">
        <v>1.5</v>
      </c>
      <c r="AT28" s="63">
        <v>1.5</v>
      </c>
      <c r="AU28" s="63">
        <v>2</v>
      </c>
      <c r="AV28" s="63">
        <v>3</v>
      </c>
      <c r="AW28" s="107"/>
      <c r="AX28" s="107"/>
      <c r="AY28" s="40"/>
      <c r="AZ28" s="40"/>
      <c r="BA28" s="40"/>
      <c r="BB28" s="180"/>
      <c r="BC28" s="40"/>
      <c r="BD28" s="40"/>
      <c r="BE28" s="40"/>
      <c r="BF28" s="40"/>
      <c r="BG28" s="40"/>
      <c r="BK28" s="40"/>
      <c r="BL28" s="40"/>
      <c r="BM28" s="40"/>
      <c r="BN28" s="40"/>
      <c r="BO28" s="40"/>
      <c r="BP28" s="40"/>
      <c r="BQ28" s="40"/>
      <c r="BR28" s="40"/>
      <c r="BS28" s="40"/>
      <c r="BT28" s="40"/>
    </row>
    <row r="29" spans="6:72" x14ac:dyDescent="0.15">
      <c r="F29" s="235"/>
      <c r="G29" s="40"/>
      <c r="H29" s="186">
        <f>IF(H28=7,"⑦－⑧",IF(H28=6,"⑥－⑦",0))</f>
        <v>0</v>
      </c>
      <c r="I29" s="170"/>
      <c r="J29" s="40"/>
      <c r="K29" s="171" t="str">
        <f>IF(I29="","",K26)</f>
        <v/>
      </c>
      <c r="L29" s="74">
        <f>IF(I29="",0,IF(I29&gt;=65,K29^1.85*0.012/I30^4.87,ROUNDUP((0.0126+(0.01739-(0.1087*I30/100))/SQRT(4*K29/(60000*PI()*(I30/100)^2)))*(1/(I30/100))*((4*K29/(60000*PI()*(I30/100)^2))^2/(2*9.8)),4)))</f>
        <v>0</v>
      </c>
      <c r="M29" s="172"/>
      <c r="N29" s="84">
        <f>ROUNDUP(L29*M29,2)</f>
        <v>0</v>
      </c>
      <c r="O29" s="87" t="str">
        <f>IF(I29="","","Ｔ直")</f>
        <v/>
      </c>
      <c r="P29" s="174"/>
      <c r="Q29" s="88">
        <f>IF(I29=0,0,IF(I28="SGP-VB",LOOKUP(I29,◆入力◆⑤「4個同時放水」計算!$AL$4:$AX$4,◆入力◆⑤「4個同時放水」計算!$AL$7:$AX$7),IF(I28="SGP-PB",LOOKUP(I29,◆入力◆⑤「4個同時放水」計算!$AL$15:$AX$15,◆入力◆⑤「4個同時放水」計算!$AL$18:$AX$18),IF(I28="HIVP",LOOKUP(I29,◆入力◆⑤「4個同時放水」計算!$AL$26:$AX$26,◆入力◆⑤「4個同時放水」計算!$AL$29:$AX$29),IF(OR(I28="SGP",I28="フレキ"),LOOKUP(I29,◆入力◆⑤「4個同時放水」計算!$AL$37:$AX$37,◆入力◆⑤「4個同時放水」計算!$AL$40:$AX$40),IF(I28="SUS",LOOKUP(I29,◆入力◆⑤「4個同時放水」計算!$AL$48:$AX$48,◆入力◆⑤「4個同時放水」計算!$AL$51:$AX$51),IF(OR(I28="PE",I28="PP"),LOOKUP(I29,◆入力◆⑤「4個同時放水」計算!$AL$59:$AX$59,◆入力◆⑤「4個同時放水」計算!$AL$62:$AX$62))))))))</f>
        <v>0</v>
      </c>
      <c r="R29" s="82">
        <f t="shared" si="0"/>
        <v>0</v>
      </c>
      <c r="S29" s="83">
        <f>R28+R29+R30</f>
        <v>0</v>
      </c>
      <c r="T29" s="84">
        <f>ROUNDUP(L29*S29,2)</f>
        <v>0</v>
      </c>
      <c r="U29" s="177"/>
      <c r="V29" s="174"/>
      <c r="W29" s="82">
        <f>IF($U29="Yスト",AC29,IF($I28="sgp-vb",AD29,IF($I28="sgp-pb",AE29,IF($I28="hivp",AF29,IF(OR($I28="sgp",$I28="フレキ"),AG29,IF($I28="sus",AH29,IF(OR($I28="PE",$I28="PP"),AI29,0)))))))</f>
        <v>0</v>
      </c>
      <c r="X29" s="82">
        <f t="shared" si="1"/>
        <v>0</v>
      </c>
      <c r="Y29" s="83">
        <f>SUM(X28:X30)</f>
        <v>0</v>
      </c>
      <c r="Z29" s="84">
        <f t="shared" ref="Z29" si="18">IF(AND($U29="電動弁",$V29=1),LOOKUP($K29,$AL$76:$BQ$76,$AL$77:$BQ$77),IF(AND($U29="逆流防止装置E",$V29=1),LOOKUP($I29,$AN$105:$AQ$105,$AN124:$AQ124),IF(AND($U29="逆流防止装置K",$V29=1),LOOKUP($I29,$AN$105:$AQ$105,$AN125:$AQ125),IF(AND($U29="逆流防止装置T",$V29=1),LOOKUP($I29,$AN$105:$AQ$105,$AN126:$AQ126),0))))</f>
        <v>0</v>
      </c>
      <c r="AA29" s="40"/>
      <c r="AB29" s="84">
        <f>N29+T29+Z28+Z29+Z30</f>
        <v>0</v>
      </c>
      <c r="AC29" s="89">
        <f>IF(U29="Yスト",IF(I28="SGP-VB",LOOKUP(I29,◆入力◆⑤「4個同時放水」計算!$AL$4:$AX$4,◆入力◆⑤「4個同時放水」計算!$AL$11:$AX$11),IF(I28="SGP-PB",LOOKUP(I29,◆入力◆⑤「4個同時放水」計算!$AL$15:$AX$15,◆入力◆⑤「4個同時放水」計算!$AL$22:$AX$22),IF(I28="HIVP",LOOKUP(I29,◆入力◆⑤「4個同時放水」計算!$AL$26:$AX$26,◆入力◆⑤「4個同時放水」計算!$AL$33:$AX$33),IF(OR(I28="SGP",I28="フレキ"),LOOKUP(I29,◆入力◆⑤「4個同時放水」計算!$AL$37:$AX$37,◆入力◆⑤「4個同時放水」計算!$AL$44:$AX$44),IF(I28="SUS",LOOKUP(I29,◆入力◆⑤「4個同時放水」計算!$AL$48:$AX$48,◆入力◆⑤「4個同時放水」計算!$AL$55:$AX$55),IF(OR(I28="PE",I28="PP"),LOOKUP(I29,◆入力◆⑤「4個同時放水」計算!$AL$59:$AX$59,◆入力◆⑤「4個同時放水」計算!$AL$66:$AX$66))))))),0)</f>
        <v>0</v>
      </c>
      <c r="AD29" s="90">
        <f>IF($U29="仕切弁",LOOKUP($I29,◆入力◆⑤「4個同時放水」計算!$AL$4:$AX$4,◆入力◆⑤「4個同時放水」計算!$AL$9:$AX$9),IF($U29="逆止弁",LOOKUP($I29,◆入力◆⑤「4個同時放水」計算!$AL$4:$AX$4,◆入力◆⑤「4個同時放水」計算!$AL$10:$AX$10),IF($U29="水道メーター",LOOKUP($I29,◆入力◆⑤「4個同時放水」計算!$AL$69:$AQ$69,◆入力◆⑤「4個同時放水」計算!$AL$70:$AQ$70),IF($U29="止水栓",LOOKUP($I29,◆入力◆⑤「4個同時放水」計算!$AL$69:$AQ$69,◆入力◆⑤「4個同時放水」計算!$AL$71:$AQ$71),IF($U29="分水栓",LOOKUP($I29,◆入力◆⑤「4個同時放水」計算!$AL$69:$AQ$69,◆入力◆⑤「4個同時放水」計算!$AL$72:$AQ$72),IF($U29="巻き出しフレキ",LOOKUP($I29,◆入力◆⑤「4個同時放水」計算!$AL$69:$AQ$69,◆入力◆⑤「4個同時放水」計算!$AL$73:$AQ$73),IF($U29="",0,0)))))))</f>
        <v>0</v>
      </c>
      <c r="AE29" s="90">
        <f>IF($U29="仕切弁",LOOKUP($I29,◆入力◆⑤「4個同時放水」計算!$AL$15:$AX$15,◆入力◆⑤「4個同時放水」計算!$AL$20:$AX$20),IF($U29="逆止弁",LOOKUP($I29,◆入力◆⑤「4個同時放水」計算!$AL$15:$AX$15,◆入力◆⑤「4個同時放水」計算!$AL$21:$AX$21),IF($U29="水道メーター",LOOKUP($I29,◆入力◆⑤「4個同時放水」計算!$AL$69:$AQ$69,◆入力◆⑤「4個同時放水」計算!$AL$70:$AQ$70),IF($U29="止水栓",LOOKUP($I29,◆入力◆⑤「4個同時放水」計算!$AL$69:$AQ$69,◆入力◆⑤「4個同時放水」計算!$AL$71:$AQ$71),IF($U29="分水栓",LOOKUP($I29,◆入力◆⑤「4個同時放水」計算!$AL$69:$AQ$69,◆入力◆⑤「4個同時放水」計算!$AL$72:$AQ$72),IF($U29="巻き出しフレキ",LOOKUP($I29,◆入力◆⑤「4個同時放水」計算!$AL$69:$AQ$69,◆入力◆⑤「4個同時放水」計算!$AL$73:$AQ$73),IF($U29="",0,0)))))))</f>
        <v>0</v>
      </c>
      <c r="AF29" s="90">
        <f>IF($U29="仕切弁",LOOKUP($I29,◆入力◆⑤「4個同時放水」計算!$AL$26:$AX$26,◆入力◆⑤「4個同時放水」計算!$AL$31:$AX$31),IF($U29="逆止弁",LOOKUP($I29,◆入力◆⑤「4個同時放水」計算!$AL$26:$AX$26,◆入力◆⑤「4個同時放水」計算!$AL$32:$AX$32),IF($U29="水道メーター",LOOKUP($I29,◆入力◆⑤「4個同時放水」計算!$AL$69:$AQ$69,◆入力◆⑤「4個同時放水」計算!$AL$70:$AQ$70),IF($U29="止水栓",LOOKUP($I29,◆入力◆⑤「4個同時放水」計算!$AL$69:$AQ$69,◆入力◆⑤「4個同時放水」計算!$AL$71:$AQ$71),IF($U29="分水栓",LOOKUP($I29,◆入力◆⑤「4個同時放水」計算!$AL$69:$AQ$69,◆入力◆⑤「4個同時放水」計算!$AL$72:$AQ$72),IF($U29="巻き出しフレキ",LOOKUP($I29,◆入力◆⑤「4個同時放水」計算!$AL$69:$AQ$69,◆入力◆⑤「4個同時放水」計算!$AL$73:$AQ$73),IF($U29="",0,0)))))))</f>
        <v>0</v>
      </c>
      <c r="AG29" s="90">
        <f>IF($U29="仕切弁",LOOKUP($I29,◆入力◆⑤「4個同時放水」計算!$AL$37:$AX$37,◆入力◆⑤「4個同時放水」計算!$AL$42:$AX$42),IF($U29="逆止弁",LOOKUP($I29,◆入力◆⑤「4個同時放水」計算!$AL$37:$AX$37,◆入力◆⑤「4個同時放水」計算!$AL$43:$AX$43),IF($U29="水道メーター",LOOKUP($I29,◆入力◆⑤「4個同時放水」計算!$AL$69:$AQ$69,◆入力◆⑤「4個同時放水」計算!$AL$70:$AQ$70),IF($U29="止水栓",LOOKUP($I29,◆入力◆⑤「4個同時放水」計算!$AL$69:$AQ$69,◆入力◆⑤「4個同時放水」計算!$AL$71:$AQ$71),IF($U29="分水栓",LOOKUP($I29,◆入力◆⑤「4個同時放水」計算!$AL$69:$AQ$69,◆入力◆⑤「4個同時放水」計算!$AL$72:$AQ$72),IF($U29="巻き出しフレキ",LOOKUP($I29,◆入力◆⑤「4個同時放水」計算!$AL$69:$AQ$69,◆入力◆⑤「4個同時放水」計算!$AL$73:$AQ$73),IF($U29="",0,0)))))))</f>
        <v>0</v>
      </c>
      <c r="AH29" s="90">
        <f>IF($U29="仕切弁",LOOKUP($I29,◆入力◆⑤「4個同時放水」計算!$AL$48:$AX$48,◆入力◆⑤「4個同時放水」計算!$AL$53:$AX$53),IF($U29="逆止弁",LOOKUP($I29,◆入力◆⑤「4個同時放水」計算!$AL$48:$AX$48,◆入力◆⑤「4個同時放水」計算!$AL$54:$AX$54),IF($U29="水道メーター",LOOKUP($I29,◆入力◆⑤「4個同時放水」計算!$AL$69:$AQ$69,◆入力◆⑤「4個同時放水」計算!$AL$70:$AQ$70),IF($U29="止水栓",LOOKUP($I29,◆入力◆⑤「4個同時放水」計算!$AL$69:$AQ$69,◆入力◆⑤「4個同時放水」計算!$AL$71:$AQ$71),IF($U29="分水栓",LOOKUP($I29,◆入力◆⑤「4個同時放水」計算!$AL$69:$AQ$69,◆入力◆⑤「4個同時放水」計算!$AL$72:$AQ$72),IF($U29="巻き出しフレキ",LOOKUP($I29,◆入力◆⑤「4個同時放水」計算!$AL$69:$AQ$69,◆入力◆⑤「4個同時放水」計算!$AL$73:$AQ$73),IF($U29="",0,0)))))))</f>
        <v>0</v>
      </c>
      <c r="AI29" s="90">
        <f>IF($U29="仕切弁",LOOKUP($I29,◆入力◆⑤「4個同時放水」計算!$AL$59:$AX$59,◆入力◆⑤「4個同時放水」計算!$AL$64:$AX$64),IF($U29="逆止弁",LOOKUP($I29,◆入力◆⑤「4個同時放水」計算!$AL$59:$AX$59,◆入力◆⑤「4個同時放水」計算!$AL$65:$AX$65),IF($U29="水道メーター",LOOKUP($I29,◆入力◆⑤「4個同時放水」計算!$AL$69:$AQ$69,◆入力◆⑤「4個同時放水」計算!$AL$70:$AQ$70),IF($U29="止水栓",LOOKUP($I29,◆入力◆⑤「4個同時放水」計算!$AL$69:$AQ$69,◆入力◆⑤「4個同時放水」計算!$AL$71:$AQ$71),IF($U29="分水栓",LOOKUP($I29,◆入力◆⑤「4個同時放水」計算!$AL$69:$AQ$69,◆入力◆⑤「4個同時放水」計算!$AL$72:$AQ$72),IF($U29="巻き出しフレキ",LOOKUP($I29,◆入力◆⑤「4個同時放水」計算!$AL$69:$AQ$69,◆入力◆⑤「4個同時放水」計算!$AL$73:$AQ$73),IF($U29="",0,0)))))))</f>
        <v>0</v>
      </c>
      <c r="AJ29" s="144"/>
      <c r="AK29" s="57" t="s">
        <v>38</v>
      </c>
      <c r="AL29" s="63">
        <v>0</v>
      </c>
      <c r="AM29" s="63">
        <v>0</v>
      </c>
      <c r="AN29" s="63">
        <v>0</v>
      </c>
      <c r="AO29" s="63">
        <v>0</v>
      </c>
      <c r="AP29" s="63">
        <v>1</v>
      </c>
      <c r="AQ29" s="63">
        <v>1</v>
      </c>
      <c r="AR29" s="63">
        <v>1.5</v>
      </c>
      <c r="AS29" s="63">
        <v>2</v>
      </c>
      <c r="AT29" s="63">
        <v>2</v>
      </c>
      <c r="AU29" s="63">
        <v>3</v>
      </c>
      <c r="AV29" s="63">
        <v>5</v>
      </c>
      <c r="AW29" s="103"/>
      <c r="AX29" s="107"/>
      <c r="AY29" s="40"/>
      <c r="AZ29" s="40"/>
      <c r="BA29" s="40"/>
      <c r="BB29" s="180"/>
      <c r="BC29" s="40"/>
      <c r="BD29" s="40"/>
      <c r="BE29" s="40"/>
      <c r="BF29" s="40"/>
      <c r="BG29" s="40"/>
      <c r="BK29" s="40"/>
      <c r="BL29" s="40"/>
      <c r="BM29" s="40"/>
      <c r="BN29" s="40"/>
      <c r="BO29" s="40"/>
      <c r="BP29" s="40"/>
      <c r="BQ29" s="40"/>
      <c r="BR29" s="40"/>
      <c r="BS29" s="40"/>
      <c r="BT29" s="40"/>
    </row>
    <row r="30" spans="6:72" x14ac:dyDescent="0.15">
      <c r="F30" s="235"/>
      <c r="G30" s="40"/>
      <c r="H30" s="145"/>
      <c r="I30" s="91">
        <f>IF(I29="",0,IF(I28="SGP-VB",LOOKUP(I29,◆入力◆⑤「4個同時放水」計算!$AL$4:$AX$4,◆入力◆⑤「4個同時放水」計算!$AL$5:$AX$5),IF(I28="SGP-PB",LOOKUP(I29,◆入力◆⑤「4個同時放水」計算!$AL$15:$AX$15,◆入力◆⑤「4個同時放水」計算!$AL$16:$AX$16),IF(I28="HIVP",LOOKUP(I29,◆入力◆⑤「4個同時放水」計算!$AL$26:$AX$26,◆入力◆⑤「4個同時放水」計算!$AL$27:$AX$27),IF(OR(I28="SGP",I28="フレキ"),LOOKUP(I29,◆入力◆⑤「4個同時放水」計算!$AL$37:$AX$37,◆入力◆⑤「4個同時放水」計算!$AL$38:$AX$38),IF(I28="SUS",LOOKUP(I29,◆入力◆⑤「4個同時放水」計算!$AL$48:$AX$48,◆入力◆⑤「4個同時放水」計算!$AL$49:$AX$49),IF(OR(I28="PE",I28="PP"),LOOKUP(I29,◆入力◆⑤「4個同時放水」計算!$AL$59:$AX$59,◆入力◆⑤「4個同時放水」計算!$AL$60:$AX$60))))))))</f>
        <v>0</v>
      </c>
      <c r="J30" s="40"/>
      <c r="K30" s="73"/>
      <c r="L30" s="74"/>
      <c r="M30" s="75"/>
      <c r="N30" s="76"/>
      <c r="O30" s="87" t="str">
        <f>IF(I29="","","Ｔ分")</f>
        <v/>
      </c>
      <c r="P30" s="175"/>
      <c r="Q30" s="88">
        <f>IF(I29=0,0,IF(I28="SGP-VB",LOOKUP(I29,◆入力◆⑤「4個同時放水」計算!$AL$4:$AX$4,◆入力◆⑤「4個同時放水」計算!$AL$8:$AX$8),IF(I28="SGP-PB",LOOKUP(I29,◆入力◆⑤「4個同時放水」計算!$AL$15:$AX$15,◆入力◆⑤「4個同時放水」計算!$AL$19:$AX$19),IF(I28="HIVP",LOOKUP(I29,◆入力◆⑤「4個同時放水」計算!$AL$26:$AX$26,◆入力◆⑤「4個同時放水」計算!$AL$30:$AX$30),IF(OR(I28="SGP",I28="フレキ"),LOOKUP(I29,◆入力◆⑤「4個同時放水」計算!$AL$37:$AX$37,◆入力◆⑤「4個同時放水」計算!$AL$41:$AX$41),IF(I28="SUS",LOOKUP(I29,◆入力◆⑤「4個同時放水」計算!$AL$48:$AX$48,◆入力◆⑤「4個同時放水」計算!$AL$52:$AX$52),IF(OR(I28="PE",I28="PP"),LOOKUP(I29,◆入力◆⑤「4個同時放水」計算!$AL$59:$AX$59,◆入力◆⑤「4個同時放水」計算!$AL$63:$AX$63))))))))</f>
        <v>0</v>
      </c>
      <c r="R30" s="100">
        <f t="shared" si="0"/>
        <v>0</v>
      </c>
      <c r="S30" s="101"/>
      <c r="T30" s="92"/>
      <c r="U30" s="178"/>
      <c r="V30" s="174"/>
      <c r="W30" s="100">
        <f>IF($U30="Yスト",AC30,IF($I28="sgp-vb",AD30,IF($I28="sgp-pb",AE30,IF($I28="hivp",AF30,IF(OR($I28="sgp",$I28="フレキ"),AG30,IF($I28="sus",AH30,IF(OR($I28="PE",$I28="PP"),AI30,0)))))))</f>
        <v>0</v>
      </c>
      <c r="X30" s="82">
        <f t="shared" si="1"/>
        <v>0</v>
      </c>
      <c r="Y30" s="83"/>
      <c r="Z30" s="92">
        <f t="shared" ref="Z30" si="19">ROUNDUP(L29*Y29,2)</f>
        <v>0</v>
      </c>
      <c r="AA30" s="40"/>
      <c r="AB30" s="93"/>
      <c r="AC30" s="90">
        <f>IF(U30="Yスト",IF(I28="SGP-VB",LOOKUP(I29,◆入力◆⑤「4個同時放水」計算!$AL$4:$AX$4,◆入力◆⑤「4個同時放水」計算!$AL$11:$AX$11),IF(I28="SGP-PB",LOOKUP(I29,◆入力◆⑤「4個同時放水」計算!$AL$15:$AX$15,◆入力◆⑤「4個同時放水」計算!$AL$22:$AX$22),IF(I28="HIVP",LOOKUP(I29,◆入力◆⑤「4個同時放水」計算!$AL$26:$AX$26,◆入力◆⑤「4個同時放水」計算!$AL$33:$AX$33),IF(OR(I28="SGP",I28="フレキ"),LOOKUP(I29,◆入力◆⑤「4個同時放水」計算!$AL$37:$AX$37,◆入力◆⑤「4個同時放水」計算!$AL$44:$AX$44),IF(I28="SUS",LOOKUP(I29,◆入力◆⑤「4個同時放水」計算!$AL$48:$AX$48,◆入力◆⑤「4個同時放水」計算!$AL$55:$AX$55),IF(OR(I28="PE",I28="PP"),LOOKUP(I29,◆入力◆⑤「4個同時放水」計算!$AL$59:$AX$59,◆入力◆⑤「4個同時放水」計算!$AL$66:$AX$66))))))),0)</f>
        <v>0</v>
      </c>
      <c r="AD30" s="90">
        <f>IF($U30="仕切弁",LOOKUP($I29,◆入力◆⑤「4個同時放水」計算!$AL$4:$AX$4,◆入力◆⑤「4個同時放水」計算!$AL$9:$AX$9),IF($U30="逆止弁",LOOKUP($I29,◆入力◆⑤「4個同時放水」計算!$AL$4:$AX$4,◆入力◆⑤「4個同時放水」計算!$AL$10:$AX$10),IF($U30="水道メーター",LOOKUP($I29,◆入力◆⑤「4個同時放水」計算!$AL$69:$AQ$69,◆入力◆⑤「4個同時放水」計算!$AL$70:$AQ$70),IF($U30="止水栓",LOOKUP($I29,◆入力◆⑤「4個同時放水」計算!$AL$69:$AQ$69,◆入力◆⑤「4個同時放水」計算!$AL$71:$AQ$71),IF($U30="分水栓",LOOKUP($I29,◆入力◆⑤「4個同時放水」計算!$AL$69:$AQ$69,◆入力◆⑤「4個同時放水」計算!$AL$72:$AQ$72),IF($U30="巻き出しフレキ",LOOKUP($I29,◆入力◆⑤「4個同時放水」計算!$AL$69:$AQ$69,◆入力◆⑤「4個同時放水」計算!$AL$73:$AQ$73),IF($U30="",0,0)))))))</f>
        <v>0</v>
      </c>
      <c r="AE30" s="90">
        <f>IF($U30="仕切弁",LOOKUP($I29,◆入力◆⑤「4個同時放水」計算!$AL$15:$AX$15,◆入力◆⑤「4個同時放水」計算!$AL$20:$AX$20),IF($U30="逆止弁",LOOKUP($I29,◆入力◆⑤「4個同時放水」計算!$AL$15:$AX$15,◆入力◆⑤「4個同時放水」計算!$AL$21:$AX$21),IF($U30="水道メーター",LOOKUP($I29,◆入力◆⑤「4個同時放水」計算!$AL$69:$AQ$69,◆入力◆⑤「4個同時放水」計算!$AL$70:$AQ$70),IF($U30="止水栓",LOOKUP($I29,◆入力◆⑤「4個同時放水」計算!$AL$69:$AQ$69,◆入力◆⑤「4個同時放水」計算!$AL$71:$AQ$71),IF($U30="分水栓",LOOKUP($I29,◆入力◆⑤「4個同時放水」計算!$AL$69:$AQ$69,◆入力◆⑤「4個同時放水」計算!$AL$72:$AQ$72),IF($U30="巻き出しフレキ",LOOKUP($I29,◆入力◆⑤「4個同時放水」計算!$AL$69:$AQ$69,◆入力◆⑤「4個同時放水」計算!$AL$73:$AQ$73),IF($U30="",0,0)))))))</f>
        <v>0</v>
      </c>
      <c r="AF30" s="90">
        <f>IF($U30="仕切弁",LOOKUP($I29,◆入力◆⑤「4個同時放水」計算!$AL$26:$AX$26,◆入力◆⑤「4個同時放水」計算!$AL$31:$AX$31),IF($U30="逆止弁",LOOKUP($I29,◆入力◆⑤「4個同時放水」計算!$AL$26:$AX$26,◆入力◆⑤「4個同時放水」計算!$AL$32:$AX$32),IF($U30="水道メーター",LOOKUP($I29,◆入力◆⑤「4個同時放水」計算!$AL$69:$AQ$69,◆入力◆⑤「4個同時放水」計算!$AL$70:$AQ$70),IF($U30="止水栓",LOOKUP($I29,◆入力◆⑤「4個同時放水」計算!$AL$69:$AQ$69,◆入力◆⑤「4個同時放水」計算!$AL$71:$AQ$71),IF($U30="分水栓",LOOKUP($I29,◆入力◆⑤「4個同時放水」計算!$AL$69:$AQ$69,◆入力◆⑤「4個同時放水」計算!$AL$72:$AQ$72),IF($U30="巻き出しフレキ",LOOKUP($I29,◆入力◆⑤「4個同時放水」計算!$AL$69:$AQ$69,◆入力◆⑤「4個同時放水」計算!$AL$73:$AQ$73),IF($U30="",0,0)))))))</f>
        <v>0</v>
      </c>
      <c r="AG30" s="90">
        <f>IF($U30="仕切弁",LOOKUP($I29,◆入力◆⑤「4個同時放水」計算!$AL$37:$AX$37,◆入力◆⑤「4個同時放水」計算!$AL$42:$AX$42),IF($U30="逆止弁",LOOKUP($I29,◆入力◆⑤「4個同時放水」計算!$AL$37:$AX$37,◆入力◆⑤「4個同時放水」計算!$AL$43:$AX$43),IF($U30="水道メーター",LOOKUP($I29,◆入力◆⑤「4個同時放水」計算!$AL$69:$AQ$69,◆入力◆⑤「4個同時放水」計算!$AL$70:$AQ$70),IF($U30="止水栓",LOOKUP($I29,◆入力◆⑤「4個同時放水」計算!$AL$69:$AQ$69,◆入力◆⑤「4個同時放水」計算!$AL$71:$AQ$71),IF($U30="分水栓",LOOKUP($I29,◆入力◆⑤「4個同時放水」計算!$AL$69:$AQ$69,◆入力◆⑤「4個同時放水」計算!$AL$72:$AQ$72),IF($U30="巻き出しフレキ",LOOKUP($I29,◆入力◆⑤「4個同時放水」計算!$AL$69:$AQ$69,◆入力◆⑤「4個同時放水」計算!$AL$73:$AQ$73),IF($U30="",0,0)))))))</f>
        <v>0</v>
      </c>
      <c r="AH30" s="90">
        <f>IF($U30="仕切弁",LOOKUP($I29,◆入力◆⑤「4個同時放水」計算!$AL$48:$AX$48,◆入力◆⑤「4個同時放水」計算!$AL$53:$AX$53),IF($U30="逆止弁",LOOKUP($I29,◆入力◆⑤「4個同時放水」計算!$AL$48:$AX$48,◆入力◆⑤「4個同時放水」計算!$AL$54:$AX$54),IF($U30="水道メーター",LOOKUP($I29,◆入力◆⑤「4個同時放水」計算!$AL$69:$AQ$69,◆入力◆⑤「4個同時放水」計算!$AL$70:$AQ$70),IF($U30="止水栓",LOOKUP($I29,◆入力◆⑤「4個同時放水」計算!$AL$69:$AQ$69,◆入力◆⑤「4個同時放水」計算!$AL$71:$AQ$71),IF($U30="分水栓",LOOKUP($I29,◆入力◆⑤「4個同時放水」計算!$AL$69:$AQ$69,◆入力◆⑤「4個同時放水」計算!$AL$72:$AQ$72),IF($U30="巻き出しフレキ",LOOKUP($I29,◆入力◆⑤「4個同時放水」計算!$AL$69:$AQ$69,◆入力◆⑤「4個同時放水」計算!$AL$73:$AQ$73),IF($U30="",0,0)))))))</f>
        <v>0</v>
      </c>
      <c r="AI30" s="90">
        <f>IF($U30="仕切弁",LOOKUP($I29,◆入力◆⑤「4個同時放水」計算!$AL$59:$AX$59,◆入力◆⑤「4個同時放水」計算!$AL$64:$AX$64),IF($U30="逆止弁",LOOKUP($I29,◆入力◆⑤「4個同時放水」計算!$AL$59:$AX$59,◆入力◆⑤「4個同時放水」計算!$AL$65:$AX$65),IF($U30="水道メーター",LOOKUP($I29,◆入力◆⑤「4個同時放水」計算!$AL$69:$AQ$69,◆入力◆⑤「4個同時放水」計算!$AL$70:$AQ$70),IF($U30="止水栓",LOOKUP($I29,◆入力◆⑤「4個同時放水」計算!$AL$69:$AQ$69,◆入力◆⑤「4個同時放水」計算!$AL$71:$AQ$71),IF($U30="分水栓",LOOKUP($I29,◆入力◆⑤「4個同時放水」計算!$AL$69:$AQ$69,◆入力◆⑤「4個同時放水」計算!$AL$72:$AQ$72),IF($U30="巻き出しフレキ",LOOKUP($I29,◆入力◆⑤「4個同時放水」計算!$AL$69:$AQ$69,◆入力◆⑤「4個同時放水」計算!$AL$73:$AQ$73),IF($U30="",0,0)))))))</f>
        <v>0</v>
      </c>
      <c r="AJ30" s="144"/>
      <c r="AK30" s="57" t="s">
        <v>5</v>
      </c>
      <c r="AL30" s="63">
        <v>0.5</v>
      </c>
      <c r="AM30" s="63">
        <v>0.5</v>
      </c>
      <c r="AN30" s="63">
        <v>0.5</v>
      </c>
      <c r="AO30" s="63">
        <v>0.5</v>
      </c>
      <c r="AP30" s="63">
        <v>1.8</v>
      </c>
      <c r="AQ30" s="63">
        <v>1.8</v>
      </c>
      <c r="AR30" s="63">
        <v>2.7</v>
      </c>
      <c r="AS30" s="63">
        <v>3.5</v>
      </c>
      <c r="AT30" s="63">
        <v>3.5</v>
      </c>
      <c r="AU30" s="63">
        <v>5</v>
      </c>
      <c r="AV30" s="63">
        <v>8</v>
      </c>
      <c r="AW30" s="107"/>
      <c r="AX30" s="107"/>
      <c r="AY30" s="40"/>
      <c r="AZ30" s="40"/>
      <c r="BA30" s="40"/>
      <c r="BB30" s="180"/>
      <c r="BC30" s="40"/>
      <c r="BD30" s="40"/>
      <c r="BE30" s="40"/>
      <c r="BF30" s="40"/>
      <c r="BG30" s="40"/>
      <c r="BK30" s="40"/>
      <c r="BL30" s="40"/>
      <c r="BM30" s="40"/>
      <c r="BN30" s="40"/>
      <c r="BO30" s="40"/>
      <c r="BP30" s="40"/>
      <c r="BQ30" s="40"/>
      <c r="BR30" s="40"/>
      <c r="BS30" s="40"/>
      <c r="BT30" s="40"/>
    </row>
    <row r="31" spans="6:72" x14ac:dyDescent="0.15">
      <c r="F31" s="235" t="s">
        <v>28</v>
      </c>
      <c r="G31" s="40"/>
      <c r="H31" s="169"/>
      <c r="I31" s="189" t="str">
        <f>IF(H31="","",◆入力◆①配管容量!$M$3)</f>
        <v/>
      </c>
      <c r="J31" s="40"/>
      <c r="K31" s="94"/>
      <c r="L31" s="95"/>
      <c r="M31" s="96"/>
      <c r="N31" s="85"/>
      <c r="O31" s="77" t="str">
        <f>IF(I32="","","E９０°")</f>
        <v/>
      </c>
      <c r="P31" s="173"/>
      <c r="Q31" s="78">
        <f>IF(I32=0,0,IF(I31="SGP-VB",LOOKUP(I32,◆入力◆⑤「4個同時放水」計算!$AL$4:$AX$4,◆入力◆⑤「4個同時放水」計算!$AL$6:$AX$6),IF(I31="SGP-PB",LOOKUP(I32,◆入力◆⑤「4個同時放水」計算!$AL$15:$AX$15,◆入力◆⑤「4個同時放水」計算!$AL$17:$AX$17),IF(I31="HIVP",LOOKUP(I32,◆入力◆⑤「4個同時放水」計算!$AL$26:$AX$26,◆入力◆⑤「4個同時放水」計算!$AL$28:$AX$28),IF(OR(I31="SGP",I31="フレキ"),LOOKUP(I32,◆入力◆⑤「4個同時放水」計算!$AL$37:$AX$37,◆入力◆⑤「4個同時放水」計算!$AL$39:$AX$39),IF(I31="SUS",LOOKUP(I32,◆入力◆⑤「4個同時放水」計算!$AL$48:$AX$48,◆入力◆⑤「4個同時放水」計算!$AL$50:$AX$50),IF(OR(I31="PE",I31="PP"),LOOKUP(I32,◆入力◆⑤「4個同時放水」計算!$AL$59:$AX$59,◆入力◆⑤「4個同時放水」計算!$AL$61:$AX$61))))))))</f>
        <v>0</v>
      </c>
      <c r="R31" s="79">
        <f t="shared" si="0"/>
        <v>0</v>
      </c>
      <c r="S31" s="80"/>
      <c r="T31" s="81">
        <v>0</v>
      </c>
      <c r="U31" s="176"/>
      <c r="V31" s="173"/>
      <c r="W31" s="82">
        <f>IF($U31="Yスト",AC31,IF($I31="sgp-vb",AD31,IF($I31="sgp-pb",AE31,IF($I31="hivp",AF31,IF(OR($I31="sgp",$I31="フレキ"),AG31,IF($I31="sus",AH31,IF(OR($I31="PE",$I31="PP"),AI31,0)))))))</f>
        <v>0</v>
      </c>
      <c r="X31" s="79">
        <f t="shared" si="1"/>
        <v>0</v>
      </c>
      <c r="Y31" s="80"/>
      <c r="Z31" s="84">
        <f t="shared" ref="Z31" si="20">IF(AND($U31="電動弁",$V31=1),LOOKUP($K32,$AL$76:$BQ$76,$AL$77:$BQ$77),IF(AND($U31="逆流防止装置E",$V31=1),LOOKUP($I32,$AN$105:$AQ$105,$AN127:$AQ127),IF(AND($U31="逆流防止装置K",$V31=1),LOOKUP($I32,$AN$105:$AQ$105,$AN128:$AQ128),IF(AND($U31="逆流防止装置T",$V31=1),LOOKUP($I32,$AN$105:$AQ$105,$AN129:$AQ129),0))))</f>
        <v>0</v>
      </c>
      <c r="AA31" s="40"/>
      <c r="AB31" s="76"/>
      <c r="AC31" s="86">
        <f>IF(U31="Yスト",IF(I31="SGP-VB",LOOKUP(I32,◆入力◆⑤「4個同時放水」計算!$AL$4:$AX$4,◆入力◆⑤「4個同時放水」計算!$AL$11:$AX$11),IF(I31="SGP-PB",LOOKUP(I32,◆入力◆⑤「4個同時放水」計算!$AL$15:$AX$15,◆入力◆⑤「4個同時放水」計算!$AL$22:$AX$22),IF(I31="HIVP",LOOKUP(I32,◆入力◆⑤「4個同時放水」計算!$AL$26:$AX$26,◆入力◆⑤「4個同時放水」計算!$AL$33:$AX$33),IF(OR(I31="SGP",I31="フレキ"),LOOKUP(I32,◆入力◆⑤「4個同時放水」計算!$AL$37:$AX$37,◆入力◆⑤「4個同時放水」計算!$AL$44:$AX$44),IF(I31="SUS",LOOKUP(I32,◆入力◆⑤「4個同時放水」計算!$AL$48:$AX$48,◆入力◆⑤「4個同時放水」計算!$AL$55:$AX$55),IF(OR(I31="PE",I31="PP"),LOOKUP(I32,◆入力◆⑤「4個同時放水」計算!$AL$59:$AX$59,◆入力◆⑤「4個同時放水」計算!$AL$66:$AX$66))))))),0)</f>
        <v>0</v>
      </c>
      <c r="AD31" s="86">
        <f>IF($U31="仕切弁",LOOKUP($I32,◆入力◆⑤「4個同時放水」計算!$AL$4:$AX$4,◆入力◆⑤「4個同時放水」計算!$AL$9:$AX$9),IF($U31="逆止弁",LOOKUP($I32,◆入力◆⑤「4個同時放水」計算!$AL$4:$AX$4,◆入力◆⑤「4個同時放水」計算!$AL$10:$AX$10),IF($U31="水道メーター",LOOKUP($I32,◆入力◆⑤「4個同時放水」計算!$AL$69:$AQ$69,◆入力◆⑤「4個同時放水」計算!$AL$70:$AQ$70),IF($U31="止水栓",LOOKUP($I32,◆入力◆⑤「4個同時放水」計算!$AL$69:$AQ$69,◆入力◆⑤「4個同時放水」計算!$AL$71:$AQ$71),IF($U31="分水栓",LOOKUP($I32,◆入力◆⑤「4個同時放水」計算!$AL$69:$AQ$69,◆入力◆⑤「4個同時放水」計算!$AL$72:$AQ$72),IF($U31="巻き出しフレキ",LOOKUP($I32,◆入力◆⑤「4個同時放水」計算!$AL$69:$AQ$69,◆入力◆⑤「4個同時放水」計算!$AL$73:$AQ$73),IF($U31="",0,0)))))))</f>
        <v>0</v>
      </c>
      <c r="AE31" s="86">
        <f>IF($U31="仕切弁",LOOKUP($I32,◆入力◆⑤「4個同時放水」計算!$AL$15:$AX$15,◆入力◆⑤「4個同時放水」計算!$AL$20:$AX$20),IF($U31="逆止弁",LOOKUP($I32,◆入力◆⑤「4個同時放水」計算!$AL$15:$AX$15,◆入力◆⑤「4個同時放水」計算!$AL$21:$AX$21),IF($U31="水道メーター",LOOKUP($I32,◆入力◆⑤「4個同時放水」計算!$AL$69:$AQ$69,◆入力◆⑤「4個同時放水」計算!$AL$70:$AQ$70),IF($U31="止水栓",LOOKUP($I32,◆入力◆⑤「4個同時放水」計算!$AL$69:$AQ$69,◆入力◆⑤「4個同時放水」計算!$AL$71:$AQ$71),IF($U31="分水栓",LOOKUP($I32,◆入力◆⑤「4個同時放水」計算!$AL$69:$AQ$69,◆入力◆⑤「4個同時放水」計算!$AL$72:$AQ$72),IF($U31="巻き出しフレキ",LOOKUP($I32,◆入力◆⑤「4個同時放水」計算!$AL$69:$AQ$69,◆入力◆⑤「4個同時放水」計算!$AL$73:$AQ$73),IF($U31="",0,0)))))))</f>
        <v>0</v>
      </c>
      <c r="AF31" s="86">
        <f>IF($U31="仕切弁",LOOKUP($I32,◆入力◆⑤「4個同時放水」計算!$AL$26:$AX$26,◆入力◆⑤「4個同時放水」計算!$AL$31:$AX$31),IF($U31="逆止弁",LOOKUP($I32,◆入力◆⑤「4個同時放水」計算!$AL$26:$AX$26,◆入力◆⑤「4個同時放水」計算!$AL$32:$AX$32),IF($U31="水道メーター",LOOKUP($I32,◆入力◆⑤「4個同時放水」計算!$AL$69:$AQ$69,◆入力◆⑤「4個同時放水」計算!$AL$70:$AQ$70),IF($U31="止水栓",LOOKUP($I32,◆入力◆⑤「4個同時放水」計算!$AL$69:$AQ$69,◆入力◆⑤「4個同時放水」計算!$AL$71:$AQ$71),IF($U31="分水栓",LOOKUP($I32,◆入力◆⑤「4個同時放水」計算!$AL$69:$AQ$69,◆入力◆⑤「4個同時放水」計算!$AL$72:$AQ$72),IF($U31="巻き出しフレキ",LOOKUP($I32,◆入力◆⑤「4個同時放水」計算!$AL$69:$AQ$69,◆入力◆⑤「4個同時放水」計算!$AL$73:$AQ$73),IF($U31="",0,0)))))))</f>
        <v>0</v>
      </c>
      <c r="AG31" s="86">
        <f>IF($U31="仕切弁",LOOKUP($I32,◆入力◆⑤「4個同時放水」計算!$AL$37:$AX$37,◆入力◆⑤「4個同時放水」計算!$AL$42:$AX$42),IF($U31="逆止弁",LOOKUP($I32,◆入力◆⑤「4個同時放水」計算!$AL$37:$AX$37,◆入力◆⑤「4個同時放水」計算!$AL$43:$AX$43),IF($U31="水道メーター",LOOKUP($I32,◆入力◆⑤「4個同時放水」計算!$AL$69:$AQ$69,◆入力◆⑤「4個同時放水」計算!$AL$70:$AQ$70),IF($U31="止水栓",LOOKUP($I32,◆入力◆⑤「4個同時放水」計算!$AL$69:$AQ$69,◆入力◆⑤「4個同時放水」計算!$AL$71:$AQ$71),IF($U31="分水栓",LOOKUP($I32,◆入力◆⑤「4個同時放水」計算!$AL$69:$AQ$69,◆入力◆⑤「4個同時放水」計算!$AL$72:$AQ$72),IF($U31="巻き出しフレキ",LOOKUP($I32,◆入力◆⑤「4個同時放水」計算!$AL$69:$AQ$69,◆入力◆⑤「4個同時放水」計算!$AL$73:$AQ$73),IF($U31="",0,0)))))))</f>
        <v>0</v>
      </c>
      <c r="AH31" s="86">
        <f>IF($U31="仕切弁",LOOKUP($I32,◆入力◆⑤「4個同時放水」計算!$AL$48:$AX$48,◆入力◆⑤「4個同時放水」計算!$AL$53:$AX$53),IF($U31="逆止弁",LOOKUP($I32,◆入力◆⑤「4個同時放水」計算!$AL$48:$AX$48,◆入力◆⑤「4個同時放水」計算!$AL$54:$AX$54),IF($U31="水道メーター",LOOKUP($I32,◆入力◆⑤「4個同時放水」計算!$AL$69:$AQ$69,◆入力◆⑤「4個同時放水」計算!$AL$70:$AQ$70),IF($U31="止水栓",LOOKUP($I32,◆入力◆⑤「4個同時放水」計算!$AL$69:$AQ$69,◆入力◆⑤「4個同時放水」計算!$AL$71:$AQ$71),IF($U31="分水栓",LOOKUP($I32,◆入力◆⑤「4個同時放水」計算!$AL$69:$AQ$69,◆入力◆⑤「4個同時放水」計算!$AL$72:$AQ$72),IF($U31="巻き出しフレキ",LOOKUP($I32,◆入力◆⑤「4個同時放水」計算!$AL$69:$AQ$69,◆入力◆⑤「4個同時放水」計算!$AL$73:$AQ$73),IF($U31="",0,0)))))))</f>
        <v>0</v>
      </c>
      <c r="AI31" s="86">
        <f>IF($U31="仕切弁",LOOKUP($I32,◆入力◆⑤「4個同時放水」計算!$AL$59:$AX$59,◆入力◆⑤「4個同時放水」計算!$AL$64:$AX$64),IF($U31="逆止弁",LOOKUP($I32,◆入力◆⑤「4個同時放水」計算!$AL$59:$AX$59,◆入力◆⑤「4個同時放水」計算!$AL$65:$AX$65),IF($U31="水道メーター",LOOKUP($I32,◆入力◆⑤「4個同時放水」計算!$AL$69:$AQ$69,◆入力◆⑤「4個同時放水」計算!$AL$70:$AQ$70),IF($U31="止水栓",LOOKUP($I32,◆入力◆⑤「4個同時放水」計算!$AL$69:$AQ$69,◆入力◆⑤「4個同時放水」計算!$AL$71:$AQ$71),IF($U31="分水栓",LOOKUP($I32,◆入力◆⑤「4個同時放水」計算!$AL$69:$AQ$69,◆入力◆⑤「4個同時放水」計算!$AL$72:$AQ$72),IF($U31="巻き出しフレキ",LOOKUP($I32,◆入力◆⑤「4個同時放水」計算!$AL$69:$AQ$69,◆入力◆⑤「4個同時放水」計算!$AL$73:$AQ$73),IF($U31="",0,0)))))))</f>
        <v>0</v>
      </c>
      <c r="AJ31" s="115"/>
      <c r="AK31" s="57" t="s">
        <v>6</v>
      </c>
      <c r="AL31" s="63">
        <v>0.12</v>
      </c>
      <c r="AM31" s="63">
        <v>0.12</v>
      </c>
      <c r="AN31" s="63">
        <v>0.15</v>
      </c>
      <c r="AO31" s="63">
        <v>0.18</v>
      </c>
      <c r="AP31" s="63">
        <v>0.24</v>
      </c>
      <c r="AQ31" s="63">
        <v>0.3</v>
      </c>
      <c r="AR31" s="63">
        <v>0.39</v>
      </c>
      <c r="AS31" s="63">
        <v>0.48</v>
      </c>
      <c r="AT31" s="63">
        <v>0.63</v>
      </c>
      <c r="AU31" s="63">
        <v>0.81</v>
      </c>
      <c r="AV31" s="63">
        <v>0.99</v>
      </c>
      <c r="AW31" s="103"/>
      <c r="AX31" s="103"/>
      <c r="AY31" s="40"/>
      <c r="AZ31" s="40"/>
      <c r="BA31" s="40"/>
      <c r="BB31" s="180"/>
      <c r="BC31" s="40"/>
      <c r="BD31" s="40"/>
      <c r="BE31" s="40"/>
      <c r="BF31" s="40"/>
      <c r="BG31" s="40"/>
      <c r="BK31" s="40"/>
      <c r="BL31" s="40"/>
      <c r="BM31" s="40"/>
      <c r="BN31" s="40"/>
      <c r="BO31" s="40"/>
      <c r="BP31" s="40"/>
      <c r="BQ31" s="40"/>
      <c r="BR31" s="40"/>
      <c r="BS31" s="40"/>
      <c r="BT31" s="40"/>
    </row>
    <row r="32" spans="6:72" x14ac:dyDescent="0.15">
      <c r="F32" s="235"/>
      <c r="G32" s="40"/>
      <c r="H32" s="186">
        <f>IF(H31=8,"⑧－⑨",IF(H31=7,"⑦－⑧",0))</f>
        <v>0</v>
      </c>
      <c r="I32" s="170"/>
      <c r="J32" s="40"/>
      <c r="K32" s="171" t="str">
        <f>IF(I32="","",K29)</f>
        <v/>
      </c>
      <c r="L32" s="74">
        <f>IF(I32="",0,IF(I32&gt;=65,K32^1.85*0.012/I33^4.87,ROUNDUP((0.0126+(0.01739-(0.1087*I33/100))/SQRT(4*K32/(60000*PI()*(I33/100)^2)))*(1/(I33/100))*((4*K32/(60000*PI()*(I33/100)^2))^2/(2*9.8)),4)))</f>
        <v>0</v>
      </c>
      <c r="M32" s="172"/>
      <c r="N32" s="84">
        <f>ROUNDUP(L32*M32,2)</f>
        <v>0</v>
      </c>
      <c r="O32" s="87" t="str">
        <f>IF(I32="","","Ｔ直")</f>
        <v/>
      </c>
      <c r="P32" s="174"/>
      <c r="Q32" s="88">
        <f>IF(I32=0,0,IF(I31="SGP-VB",LOOKUP(I32,◆入力◆⑤「4個同時放水」計算!$AL$4:$AX$4,◆入力◆⑤「4個同時放水」計算!$AL$7:$AX$7),IF(I31="SGP-PB",LOOKUP(I32,◆入力◆⑤「4個同時放水」計算!$AL$15:$AX$15,◆入力◆⑤「4個同時放水」計算!$AL$18:$AX$18),IF(I31="HIVP",LOOKUP(I32,◆入力◆⑤「4個同時放水」計算!$AL$26:$AX$26,◆入力◆⑤「4個同時放水」計算!$AL$29:$AX$29),IF(OR(I31="SGP",I31="フレキ"),LOOKUP(I32,◆入力◆⑤「4個同時放水」計算!$AL$37:$AX$37,◆入力◆⑤「4個同時放水」計算!$AL$40:$AX$40),IF(I31="SUS",LOOKUP(I32,◆入力◆⑤「4個同時放水」計算!$AL$48:$AX$48,◆入力◆⑤「4個同時放水」計算!$AL$51:$AX$51),IF(OR(I31="PE",I31="PP"),LOOKUP(I32,◆入力◆⑤「4個同時放水」計算!$AL$59:$AX$59,◆入力◆⑤「4個同時放水」計算!$AL$62:$AX$62))))))))</f>
        <v>0</v>
      </c>
      <c r="R32" s="82">
        <f t="shared" si="0"/>
        <v>0</v>
      </c>
      <c r="S32" s="83">
        <f>R31+R32+R33</f>
        <v>0</v>
      </c>
      <c r="T32" s="84">
        <f>ROUNDUP(L32*S32,2)</f>
        <v>0</v>
      </c>
      <c r="U32" s="177"/>
      <c r="V32" s="174"/>
      <c r="W32" s="82">
        <f>IF($U32="Yスト",AC32,IF($I31="sgp-vb",AD32,IF($I31="sgp-pb",AE32,IF($I31="hivp",AF32,IF(OR($I31="sgp",$I31="フレキ"),AG32,IF($I31="sus",AH32,IF(OR($I31="PE",$I31="PP"),AI32,0)))))))</f>
        <v>0</v>
      </c>
      <c r="X32" s="82">
        <f t="shared" si="1"/>
        <v>0</v>
      </c>
      <c r="Y32" s="83">
        <f>SUM(X31:X33)</f>
        <v>0</v>
      </c>
      <c r="Z32" s="84">
        <f t="shared" ref="Z32" si="21">IF(AND($U32="電動弁",$V32=1),LOOKUP($K32,$AL$76:$BQ$76,$AL$77:$BQ$77),IF(AND($U32="逆流防止装置E",$V32=1),LOOKUP($I32,$AN$105:$AQ$105,$AN127:$AQ127),IF(AND($U32="逆流防止装置K",$V32=1),LOOKUP($I32,$AN$105:$AQ$105,$AN128:$AQ128),IF(AND($U32="逆流防止装置T",$V32=1),LOOKUP($I32,$AN$105:$AQ$105,$AN129:$AQ129),0))))</f>
        <v>0</v>
      </c>
      <c r="AA32" s="40"/>
      <c r="AB32" s="84">
        <f>N32+T32+Z31+Z32+Z33</f>
        <v>0</v>
      </c>
      <c r="AC32" s="89">
        <f>IF(U32="Yスト",IF(I31="SGP-VB",LOOKUP(I32,◆入力◆⑤「4個同時放水」計算!$AL$4:$AX$4,◆入力◆⑤「4個同時放水」計算!$AL$11:$AX$11),IF(I31="SGP-PB",LOOKUP(I32,◆入力◆⑤「4個同時放水」計算!$AL$15:$AX$15,◆入力◆⑤「4個同時放水」計算!$AL$22:$AX$22),IF(I31="HIVP",LOOKUP(I32,◆入力◆⑤「4個同時放水」計算!$AL$26:$AX$26,◆入力◆⑤「4個同時放水」計算!$AL$33:$AX$33),IF(OR(I31="SGP",I31="フレキ"),LOOKUP(I32,◆入力◆⑤「4個同時放水」計算!$AL$37:$AX$37,◆入力◆⑤「4個同時放水」計算!$AL$44:$AX$44),IF(I31="SUS",LOOKUP(I32,◆入力◆⑤「4個同時放水」計算!$AL$48:$AX$48,◆入力◆⑤「4個同時放水」計算!$AL$55:$AX$55),IF(OR(I31="PE",I31="PP"),LOOKUP(I32,◆入力◆⑤「4個同時放水」計算!$AL$59:$AX$59,◆入力◆⑤「4個同時放水」計算!$AL$66:$AX$66))))))),0)</f>
        <v>0</v>
      </c>
      <c r="AD32" s="90">
        <f>IF($U32="仕切弁",LOOKUP($I32,◆入力◆⑤「4個同時放水」計算!$AL$4:$AX$4,◆入力◆⑤「4個同時放水」計算!$AL$9:$AX$9),IF($U32="逆止弁",LOOKUP($I32,◆入力◆⑤「4個同時放水」計算!$AL$4:$AX$4,◆入力◆⑤「4個同時放水」計算!$AL$10:$AX$10),IF($U32="水道メーター",LOOKUP($I32,◆入力◆⑤「4個同時放水」計算!$AL$69:$AQ$69,◆入力◆⑤「4個同時放水」計算!$AL$70:$AQ$70),IF($U32="止水栓",LOOKUP($I32,◆入力◆⑤「4個同時放水」計算!$AL$69:$AQ$69,◆入力◆⑤「4個同時放水」計算!$AL$71:$AQ$71),IF($U32="分水栓",LOOKUP($I32,◆入力◆⑤「4個同時放水」計算!$AL$69:$AQ$69,◆入力◆⑤「4個同時放水」計算!$AL$72:$AQ$72),IF($U32="巻き出しフレキ",LOOKUP($I32,◆入力◆⑤「4個同時放水」計算!$AL$69:$AQ$69,◆入力◆⑤「4個同時放水」計算!$AL$73:$AQ$73),IF($U32="",0,0)))))))</f>
        <v>0</v>
      </c>
      <c r="AE32" s="90">
        <f>IF($U32="仕切弁",LOOKUP($I32,◆入力◆⑤「4個同時放水」計算!$AL$15:$AX$15,◆入力◆⑤「4個同時放水」計算!$AL$20:$AX$20),IF($U32="逆止弁",LOOKUP($I32,◆入力◆⑤「4個同時放水」計算!$AL$15:$AX$15,◆入力◆⑤「4個同時放水」計算!$AL$21:$AX$21),IF($U32="水道メーター",LOOKUP($I32,◆入力◆⑤「4個同時放水」計算!$AL$69:$AQ$69,◆入力◆⑤「4個同時放水」計算!$AL$70:$AQ$70),IF($U32="止水栓",LOOKUP($I32,◆入力◆⑤「4個同時放水」計算!$AL$69:$AQ$69,◆入力◆⑤「4個同時放水」計算!$AL$71:$AQ$71),IF($U32="分水栓",LOOKUP($I32,◆入力◆⑤「4個同時放水」計算!$AL$69:$AQ$69,◆入力◆⑤「4個同時放水」計算!$AL$72:$AQ$72),IF($U32="巻き出しフレキ",LOOKUP($I32,◆入力◆⑤「4個同時放水」計算!$AL$69:$AQ$69,◆入力◆⑤「4個同時放水」計算!$AL$73:$AQ$73),IF($U32="",0,0)))))))</f>
        <v>0</v>
      </c>
      <c r="AF32" s="90">
        <f>IF($U32="仕切弁",LOOKUP($I32,◆入力◆⑤「4個同時放水」計算!$AL$26:$AX$26,◆入力◆⑤「4個同時放水」計算!$AL$31:$AX$31),IF($U32="逆止弁",LOOKUP($I32,◆入力◆⑤「4個同時放水」計算!$AL$26:$AX$26,◆入力◆⑤「4個同時放水」計算!$AL$32:$AX$32),IF($U32="水道メーター",LOOKUP($I32,◆入力◆⑤「4個同時放水」計算!$AL$69:$AQ$69,◆入力◆⑤「4個同時放水」計算!$AL$70:$AQ$70),IF($U32="止水栓",LOOKUP($I32,◆入力◆⑤「4個同時放水」計算!$AL$69:$AQ$69,◆入力◆⑤「4個同時放水」計算!$AL$71:$AQ$71),IF($U32="分水栓",LOOKUP($I32,◆入力◆⑤「4個同時放水」計算!$AL$69:$AQ$69,◆入力◆⑤「4個同時放水」計算!$AL$72:$AQ$72),IF($U32="巻き出しフレキ",LOOKUP($I32,◆入力◆⑤「4個同時放水」計算!$AL$69:$AQ$69,◆入力◆⑤「4個同時放水」計算!$AL$73:$AQ$73),IF($U32="",0,0)))))))</f>
        <v>0</v>
      </c>
      <c r="AG32" s="90">
        <f>IF($U32="仕切弁",LOOKUP($I32,◆入力◆⑤「4個同時放水」計算!$AL$37:$AX$37,◆入力◆⑤「4個同時放水」計算!$AL$42:$AX$42),IF($U32="逆止弁",LOOKUP($I32,◆入力◆⑤「4個同時放水」計算!$AL$37:$AX$37,◆入力◆⑤「4個同時放水」計算!$AL$43:$AX$43),IF($U32="水道メーター",LOOKUP($I32,◆入力◆⑤「4個同時放水」計算!$AL$69:$AQ$69,◆入力◆⑤「4個同時放水」計算!$AL$70:$AQ$70),IF($U32="止水栓",LOOKUP($I32,◆入力◆⑤「4個同時放水」計算!$AL$69:$AQ$69,◆入力◆⑤「4個同時放水」計算!$AL$71:$AQ$71),IF($U32="分水栓",LOOKUP($I32,◆入力◆⑤「4個同時放水」計算!$AL$69:$AQ$69,◆入力◆⑤「4個同時放水」計算!$AL$72:$AQ$72),IF($U32="巻き出しフレキ",LOOKUP($I32,◆入力◆⑤「4個同時放水」計算!$AL$69:$AQ$69,◆入力◆⑤「4個同時放水」計算!$AL$73:$AQ$73),IF($U32="",0,0)))))))</f>
        <v>0</v>
      </c>
      <c r="AH32" s="90">
        <f>IF($U32="仕切弁",LOOKUP($I32,◆入力◆⑤「4個同時放水」計算!$AL$48:$AX$48,◆入力◆⑤「4個同時放水」計算!$AL$53:$AX$53),IF($U32="逆止弁",LOOKUP($I32,◆入力◆⑤「4個同時放水」計算!$AL$48:$AX$48,◆入力◆⑤「4個同時放水」計算!$AL$54:$AX$54),IF($U32="水道メーター",LOOKUP($I32,◆入力◆⑤「4個同時放水」計算!$AL$69:$AQ$69,◆入力◆⑤「4個同時放水」計算!$AL$70:$AQ$70),IF($U32="止水栓",LOOKUP($I32,◆入力◆⑤「4個同時放水」計算!$AL$69:$AQ$69,◆入力◆⑤「4個同時放水」計算!$AL$71:$AQ$71),IF($U32="分水栓",LOOKUP($I32,◆入力◆⑤「4個同時放水」計算!$AL$69:$AQ$69,◆入力◆⑤「4個同時放水」計算!$AL$72:$AQ$72),IF($U32="巻き出しフレキ",LOOKUP($I32,◆入力◆⑤「4個同時放水」計算!$AL$69:$AQ$69,◆入力◆⑤「4個同時放水」計算!$AL$73:$AQ$73),IF($U32="",0,0)))))))</f>
        <v>0</v>
      </c>
      <c r="AI32" s="90">
        <f>IF($U32="仕切弁",LOOKUP($I32,◆入力◆⑤「4個同時放水」計算!$AL$59:$AX$59,◆入力◆⑤「4個同時放水」計算!$AL$64:$AX$64),IF($U32="逆止弁",LOOKUP($I32,◆入力◆⑤「4個同時放水」計算!$AL$59:$AX$59,◆入力◆⑤「4個同時放水」計算!$AL$65:$AX$65),IF($U32="水道メーター",LOOKUP($I32,◆入力◆⑤「4個同時放水」計算!$AL$69:$AQ$69,◆入力◆⑤「4個同時放水」計算!$AL$70:$AQ$70),IF($U32="止水栓",LOOKUP($I32,◆入力◆⑤「4個同時放水」計算!$AL$69:$AQ$69,◆入力◆⑤「4個同時放水」計算!$AL$71:$AQ$71),IF($U32="分水栓",LOOKUP($I32,◆入力◆⑤「4個同時放水」計算!$AL$69:$AQ$69,◆入力◆⑤「4個同時放水」計算!$AL$72:$AQ$72),IF($U32="巻き出しフレキ",LOOKUP($I32,◆入力◆⑤「4個同時放水」計算!$AL$69:$AQ$69,◆入力◆⑤「4個同時放水」計算!$AL$73:$AQ$73),IF($U32="",0,0)))))))</f>
        <v>0</v>
      </c>
      <c r="AJ32" s="115"/>
      <c r="AK32" s="57" t="s">
        <v>41</v>
      </c>
      <c r="AL32" s="63">
        <v>1.2</v>
      </c>
      <c r="AM32" s="63">
        <v>1.2</v>
      </c>
      <c r="AN32" s="63">
        <v>1.6</v>
      </c>
      <c r="AO32" s="63">
        <v>2</v>
      </c>
      <c r="AP32" s="63">
        <v>2.5</v>
      </c>
      <c r="AQ32" s="63">
        <v>3.1</v>
      </c>
      <c r="AR32" s="63">
        <v>4</v>
      </c>
      <c r="AS32" s="63">
        <v>4.5999999999999996</v>
      </c>
      <c r="AT32" s="63">
        <v>5.7</v>
      </c>
      <c r="AU32" s="63">
        <v>7.6</v>
      </c>
      <c r="AV32" s="63">
        <v>10</v>
      </c>
      <c r="AW32" s="107"/>
      <c r="AX32" s="103"/>
      <c r="AY32" s="40"/>
      <c r="AZ32" s="40"/>
      <c r="BA32" s="40"/>
      <c r="BB32" s="180"/>
      <c r="BC32" s="40"/>
      <c r="BD32" s="40"/>
      <c r="BE32" s="40"/>
      <c r="BF32" s="40"/>
      <c r="BG32" s="40"/>
      <c r="BK32" s="40"/>
      <c r="BL32" s="40"/>
      <c r="BM32" s="40"/>
      <c r="BN32" s="40"/>
      <c r="BO32" s="40"/>
      <c r="BP32" s="40"/>
      <c r="BQ32" s="40"/>
      <c r="BR32" s="40"/>
      <c r="BS32" s="40"/>
      <c r="BT32" s="40"/>
    </row>
    <row r="33" spans="6:72" x14ac:dyDescent="0.15">
      <c r="F33" s="235"/>
      <c r="G33" s="40"/>
      <c r="H33" s="149"/>
      <c r="I33" s="91">
        <f>IF(I32="",0,IF(I31="SGP-VB",LOOKUP(I32,◆入力◆⑤「4個同時放水」計算!$AL$4:$AX$4,◆入力◆⑤「4個同時放水」計算!$AL$5:$AX$5),IF(I31="SGP-PB",LOOKUP(I32,◆入力◆⑤「4個同時放水」計算!$AL$15:$AX$15,◆入力◆⑤「4個同時放水」計算!$AL$16:$AX$16),IF(I31="HIVP",LOOKUP(I32,◆入力◆⑤「4個同時放水」計算!$AL$26:$AX$26,◆入力◆⑤「4個同時放水」計算!$AL$27:$AX$27),IF(OR(I31="SGP",I31="フレキ"),LOOKUP(I32,◆入力◆⑤「4個同時放水」計算!$AL$37:$AX$37,◆入力◆⑤「4個同時放水」計算!$AL$38:$AX$38),IF(I31="SUS",LOOKUP(I32,◆入力◆⑤「4個同時放水」計算!$AL$48:$AX$48,◆入力◆⑤「4個同時放水」計算!$AL$49:$AX$49),IF(OR(I31="PE",I31="PP"),LOOKUP(I32,◆入力◆⑤「4個同時放水」計算!$AL$59:$AX$59,◆入力◆⑤「4個同時放水」計算!$AL$60:$AX$60))))))))</f>
        <v>0</v>
      </c>
      <c r="J33" s="40"/>
      <c r="K33" s="97"/>
      <c r="L33" s="98"/>
      <c r="M33" s="99"/>
      <c r="N33" s="93"/>
      <c r="O33" s="87" t="str">
        <f>IF(I32="","","Ｔ分")</f>
        <v/>
      </c>
      <c r="P33" s="175"/>
      <c r="Q33" s="88">
        <f>IF(I32=0,0,IF(I31="SGP-VB",LOOKUP(I32,◆入力◆⑤「4個同時放水」計算!$AL$4:$AX$4,◆入力◆⑤「4個同時放水」計算!$AL$8:$AX$8),IF(I31="SGP-PB",LOOKUP(I32,◆入力◆⑤「4個同時放水」計算!$AL$15:$AX$15,◆入力◆⑤「4個同時放水」計算!$AL$19:$AX$19),IF(I31="HIVP",LOOKUP(I32,◆入力◆⑤「4個同時放水」計算!$AL$26:$AX$26,◆入力◆⑤「4個同時放水」計算!$AL$30:$AX$30),IF(OR(I31="SGP",I31="フレキ"),LOOKUP(I32,◆入力◆⑤「4個同時放水」計算!$AL$37:$AX$37,◆入力◆⑤「4個同時放水」計算!$AL$41:$AX$41),IF(I31="SUS",LOOKUP(I32,◆入力◆⑤「4個同時放水」計算!$AL$48:$AX$48,◆入力◆⑤「4個同時放水」計算!$AL$52:$AX$52),IF(OR(I31="PE",I31="PP"),LOOKUP(I32,◆入力◆⑤「4個同時放水」計算!$AL$59:$AX$59,◆入力◆⑤「4個同時放水」計算!$AL$63:$AX$63))))))))</f>
        <v>0</v>
      </c>
      <c r="R33" s="100">
        <f t="shared" si="0"/>
        <v>0</v>
      </c>
      <c r="S33" s="101"/>
      <c r="T33" s="92"/>
      <c r="U33" s="178"/>
      <c r="V33" s="175"/>
      <c r="W33" s="100">
        <f>IF($U33="Yスト",AC33,IF($I31="sgp-vb",AD33,IF($I31="sgp-pb",AE33,IF($I31="hivp",AF33,IF(OR($I31="sgp",$I31="フレキ"),AG33,IF($I31="sus",AH33,IF(OR($I31="PE",$I31="PP"),AI33,0)))))))</f>
        <v>0</v>
      </c>
      <c r="X33" s="100">
        <f t="shared" si="1"/>
        <v>0</v>
      </c>
      <c r="Y33" s="101"/>
      <c r="Z33" s="92">
        <f t="shared" ref="Z33" si="22">ROUNDUP(L32*Y32,2)</f>
        <v>0</v>
      </c>
      <c r="AA33" s="40"/>
      <c r="AB33" s="76"/>
      <c r="AC33" s="90">
        <f>IF(U33="Yスト",IF(I31="SGP-VB",LOOKUP(I32,◆入力◆⑤「4個同時放水」計算!$AL$4:$AX$4,◆入力◆⑤「4個同時放水」計算!$AL$11:$AX$11),IF(I31="SGP-PB",LOOKUP(I32,◆入力◆⑤「4個同時放水」計算!$AL$15:$AX$15,◆入力◆⑤「4個同時放水」計算!$AL$22:$AX$22),IF(I31="HIVP",LOOKUP(I32,◆入力◆⑤「4個同時放水」計算!$AL$26:$AX$26,◆入力◆⑤「4個同時放水」計算!$AL$33:$AX$33),IF(OR(I31="SGP",I31="フレキ"),LOOKUP(I32,◆入力◆⑤「4個同時放水」計算!$AL$37:$AX$37,◆入力◆⑤「4個同時放水」計算!$AL$44:$AX$44),IF(I31="SUS",LOOKUP(I32,◆入力◆⑤「4個同時放水」計算!$AL$48:$AX$48,◆入力◆⑤「4個同時放水」計算!$AL$55:$AX$55),IF(OR(I31="PE",I31="PP"),LOOKUP(I32,◆入力◆⑤「4個同時放水」計算!$AL$59:$AX$59,◆入力◆⑤「4個同時放水」計算!$AL$66:$AX$66))))))),0)</f>
        <v>0</v>
      </c>
      <c r="AD33" s="90">
        <f>IF($U33="仕切弁",LOOKUP($I32,◆入力◆⑤「4個同時放水」計算!$AL$4:$AX$4,◆入力◆⑤「4個同時放水」計算!$AL$9:$AX$9),IF($U33="逆止弁",LOOKUP($I32,◆入力◆⑤「4個同時放水」計算!$AL$4:$AX$4,◆入力◆⑤「4個同時放水」計算!$AL$10:$AX$10),IF($U33="水道メーター",LOOKUP($I32,◆入力◆⑤「4個同時放水」計算!$AL$69:$AQ$69,◆入力◆⑤「4個同時放水」計算!$AL$70:$AQ$70),IF($U33="止水栓",LOOKUP($I32,◆入力◆⑤「4個同時放水」計算!$AL$69:$AQ$69,◆入力◆⑤「4個同時放水」計算!$AL$71:$AQ$71),IF($U33="分水栓",LOOKUP($I32,◆入力◆⑤「4個同時放水」計算!$AL$69:$AQ$69,◆入力◆⑤「4個同時放水」計算!$AL$72:$AQ$72),IF($U33="巻き出しフレキ",LOOKUP($I32,◆入力◆⑤「4個同時放水」計算!$AL$69:$AQ$69,◆入力◆⑤「4個同時放水」計算!$AL$73:$AQ$73),IF($U33="",0,0)))))))</f>
        <v>0</v>
      </c>
      <c r="AE33" s="90">
        <f>IF($U33="仕切弁",LOOKUP($I32,◆入力◆⑤「4個同時放水」計算!$AL$15:$AX$15,◆入力◆⑤「4個同時放水」計算!$AL$20:$AX$20),IF($U33="逆止弁",LOOKUP($I32,◆入力◆⑤「4個同時放水」計算!$AL$15:$AX$15,◆入力◆⑤「4個同時放水」計算!$AL$21:$AX$21),IF($U33="水道メーター",LOOKUP($I32,◆入力◆⑤「4個同時放水」計算!$AL$69:$AQ$69,◆入力◆⑤「4個同時放水」計算!$AL$70:$AQ$70),IF($U33="止水栓",LOOKUP($I32,◆入力◆⑤「4個同時放水」計算!$AL$69:$AQ$69,◆入力◆⑤「4個同時放水」計算!$AL$71:$AQ$71),IF($U33="分水栓",LOOKUP($I32,◆入力◆⑤「4個同時放水」計算!$AL$69:$AQ$69,◆入力◆⑤「4個同時放水」計算!$AL$72:$AQ$72),IF($U33="巻き出しフレキ",LOOKUP($I32,◆入力◆⑤「4個同時放水」計算!$AL$69:$AQ$69,◆入力◆⑤「4個同時放水」計算!$AL$73:$AQ$73),IF($U33="",0,0)))))))</f>
        <v>0</v>
      </c>
      <c r="AF33" s="90">
        <f>IF($U33="仕切弁",LOOKUP($I32,◆入力◆⑤「4個同時放水」計算!$AL$26:$AX$26,◆入力◆⑤「4個同時放水」計算!$AL$31:$AX$31),IF($U33="逆止弁",LOOKUP($I32,◆入力◆⑤「4個同時放水」計算!$AL$26:$AX$26,◆入力◆⑤「4個同時放水」計算!$AL$32:$AX$32),IF($U33="水道メーター",LOOKUP($I32,◆入力◆⑤「4個同時放水」計算!$AL$69:$AQ$69,◆入力◆⑤「4個同時放水」計算!$AL$70:$AQ$70),IF($U33="止水栓",LOOKUP($I32,◆入力◆⑤「4個同時放水」計算!$AL$69:$AQ$69,◆入力◆⑤「4個同時放水」計算!$AL$71:$AQ$71),IF($U33="分水栓",LOOKUP($I32,◆入力◆⑤「4個同時放水」計算!$AL$69:$AQ$69,◆入力◆⑤「4個同時放水」計算!$AL$72:$AQ$72),IF($U33="巻き出しフレキ",LOOKUP($I32,◆入力◆⑤「4個同時放水」計算!$AL$69:$AQ$69,◆入力◆⑤「4個同時放水」計算!$AL$73:$AQ$73),IF($U33="",0,0)))))))</f>
        <v>0</v>
      </c>
      <c r="AG33" s="90">
        <f>IF($U33="仕切弁",LOOKUP($I32,◆入力◆⑤「4個同時放水」計算!$AL$37:$AX$37,◆入力◆⑤「4個同時放水」計算!$AL$42:$AX$42),IF($U33="逆止弁",LOOKUP($I32,◆入力◆⑤「4個同時放水」計算!$AL$37:$AX$37,◆入力◆⑤「4個同時放水」計算!$AL$43:$AX$43),IF($U33="水道メーター",LOOKUP($I32,◆入力◆⑤「4個同時放水」計算!$AL$69:$AQ$69,◆入力◆⑤「4個同時放水」計算!$AL$70:$AQ$70),IF($U33="止水栓",LOOKUP($I32,◆入力◆⑤「4個同時放水」計算!$AL$69:$AQ$69,◆入力◆⑤「4個同時放水」計算!$AL$71:$AQ$71),IF($U33="分水栓",LOOKUP($I32,◆入力◆⑤「4個同時放水」計算!$AL$69:$AQ$69,◆入力◆⑤「4個同時放水」計算!$AL$72:$AQ$72),IF($U33="巻き出しフレキ",LOOKUP($I32,◆入力◆⑤「4個同時放水」計算!$AL$69:$AQ$69,◆入力◆⑤「4個同時放水」計算!$AL$73:$AQ$73),IF($U33="",0,0)))))))</f>
        <v>0</v>
      </c>
      <c r="AH33" s="90">
        <f>IF($U33="仕切弁",LOOKUP($I32,◆入力◆⑤「4個同時放水」計算!$AL$48:$AX$48,◆入力◆⑤「4個同時放水」計算!$AL$53:$AX$53),IF($U33="逆止弁",LOOKUP($I32,◆入力◆⑤「4個同時放水」計算!$AL$48:$AX$48,◆入力◆⑤「4個同時放水」計算!$AL$54:$AX$54),IF($U33="水道メーター",LOOKUP($I32,◆入力◆⑤「4個同時放水」計算!$AL$69:$AQ$69,◆入力◆⑤「4個同時放水」計算!$AL$70:$AQ$70),IF($U33="止水栓",LOOKUP($I32,◆入力◆⑤「4個同時放水」計算!$AL$69:$AQ$69,◆入力◆⑤「4個同時放水」計算!$AL$71:$AQ$71),IF($U33="分水栓",LOOKUP($I32,◆入力◆⑤「4個同時放水」計算!$AL$69:$AQ$69,◆入力◆⑤「4個同時放水」計算!$AL$72:$AQ$72),IF($U33="巻き出しフレキ",LOOKUP($I32,◆入力◆⑤「4個同時放水」計算!$AL$69:$AQ$69,◆入力◆⑤「4個同時放水」計算!$AL$73:$AQ$73),IF($U33="",0,0)))))))</f>
        <v>0</v>
      </c>
      <c r="AI33" s="90">
        <f>IF($U33="仕切弁",LOOKUP($I32,◆入力◆⑤「4個同時放水」計算!$AL$59:$AX$59,◆入力◆⑤「4個同時放水」計算!$AL$64:$AX$64),IF($U33="逆止弁",LOOKUP($I32,◆入力◆⑤「4個同時放水」計算!$AL$59:$AX$59,◆入力◆⑤「4個同時放水」計算!$AL$65:$AX$65),IF($U33="水道メーター",LOOKUP($I32,◆入力◆⑤「4個同時放水」計算!$AL$69:$AQ$69,◆入力◆⑤「4個同時放水」計算!$AL$70:$AQ$70),IF($U33="止水栓",LOOKUP($I32,◆入力◆⑤「4個同時放水」計算!$AL$69:$AQ$69,◆入力◆⑤「4個同時放水」計算!$AL$71:$AQ$71),IF($U33="分水栓",LOOKUP($I32,◆入力◆⑤「4個同時放水」計算!$AL$69:$AQ$69,◆入力◆⑤「4個同時放水」計算!$AL$72:$AQ$72),IF($U33="巻き出しフレキ",LOOKUP($I32,◆入力◆⑤「4個同時放水」計算!$AL$69:$AQ$69,◆入力◆⑤「4個同時放水」計算!$AL$73:$AQ$73),IF($U33="",0,0)))))))</f>
        <v>0</v>
      </c>
      <c r="AJ33" s="115"/>
      <c r="AK33" s="57" t="s">
        <v>70</v>
      </c>
      <c r="AL33" s="63">
        <v>1.38</v>
      </c>
      <c r="AM33" s="63">
        <v>1.38</v>
      </c>
      <c r="AN33" s="63">
        <v>2.1800000000000002</v>
      </c>
      <c r="AO33" s="63">
        <v>3</v>
      </c>
      <c r="AP33" s="63">
        <v>4.62</v>
      </c>
      <c r="AQ33" s="63">
        <v>5.47</v>
      </c>
      <c r="AR33" s="63">
        <v>8</v>
      </c>
      <c r="AS33" s="63"/>
      <c r="AT33" s="63"/>
      <c r="AU33" s="63"/>
      <c r="AV33" s="63"/>
      <c r="AW33" s="107"/>
      <c r="AX33" s="103"/>
      <c r="AY33" s="40"/>
      <c r="AZ33" s="40"/>
      <c r="BA33" s="40"/>
      <c r="BB33" s="180"/>
      <c r="BC33" s="40"/>
      <c r="BD33" s="40"/>
      <c r="BE33" s="40"/>
      <c r="BF33" s="40"/>
      <c r="BG33" s="40"/>
      <c r="BK33" s="40"/>
      <c r="BL33" s="40"/>
      <c r="BM33" s="40"/>
      <c r="BN33" s="40"/>
      <c r="BO33" s="40"/>
      <c r="BP33" s="40"/>
      <c r="BQ33" s="40"/>
      <c r="BR33" s="40"/>
      <c r="BS33" s="40"/>
      <c r="BT33" s="40"/>
    </row>
    <row r="34" spans="6:72" x14ac:dyDescent="0.15">
      <c r="F34" s="235" t="s">
        <v>29</v>
      </c>
      <c r="G34" s="40"/>
      <c r="H34" s="168"/>
      <c r="I34" s="189" t="str">
        <f>IF(H34="","",◆入力◆①配管容量!$M$3)</f>
        <v/>
      </c>
      <c r="J34" s="40"/>
      <c r="K34" s="73"/>
      <c r="L34" s="74"/>
      <c r="M34" s="75"/>
      <c r="N34" s="76"/>
      <c r="O34" s="77" t="str">
        <f>IF(I35="","","E９０°")</f>
        <v/>
      </c>
      <c r="P34" s="173"/>
      <c r="Q34" s="78">
        <f>IF(I35=0,0,IF(I34="SGP-VB",LOOKUP(I35,◆入力◆⑤「4個同時放水」計算!$AL$4:$AX$4,◆入力◆⑤「4個同時放水」計算!$AL$6:$AX$6),IF(I34="SGP-PB",LOOKUP(I35,◆入力◆⑤「4個同時放水」計算!$AL$15:$AX$15,◆入力◆⑤「4個同時放水」計算!$AL$17:$AX$17),IF(I34="HIVP",LOOKUP(I35,◆入力◆⑤「4個同時放水」計算!$AL$26:$AX$26,◆入力◆⑤「4個同時放水」計算!$AL$28:$AX$28),IF(OR(I34="SGP",I34="フレキ"),LOOKUP(I35,◆入力◆⑤「4個同時放水」計算!$AL$37:$AX$37,◆入力◆⑤「4個同時放水」計算!$AL$39:$AX$39),IF(I34="SUS",LOOKUP(I35,◆入力◆⑤「4個同時放水」計算!$AL$48:$AX$48,◆入力◆⑤「4個同時放水」計算!$AL$50:$AX$50),IF(OR(I34="PE",I34="PP"),LOOKUP(I35,◆入力◆⑤「4個同時放水」計算!$AL$59:$AX$59,◆入力◆⑤「4個同時放水」計算!$AL$61:$AX$61))))))))</f>
        <v>0</v>
      </c>
      <c r="R34" s="79">
        <f t="shared" si="0"/>
        <v>0</v>
      </c>
      <c r="S34" s="80"/>
      <c r="T34" s="81">
        <v>0</v>
      </c>
      <c r="U34" s="176"/>
      <c r="V34" s="174"/>
      <c r="W34" s="82">
        <f>IF($U34="Yスト",AC34,IF($I34="sgp-vb",AD34,IF($I34="sgp-pb",AE34,IF($I34="hivp",AF34,IF(OR($I34="sgp",$I34="フレキ"),AG34,IF($I34="sus",AH34,IF(OR($I34="PE",$I34="PP"),AI34,0)))))))</f>
        <v>0</v>
      </c>
      <c r="X34" s="82">
        <f t="shared" si="1"/>
        <v>0</v>
      </c>
      <c r="Y34" s="83"/>
      <c r="Z34" s="84">
        <f t="shared" ref="Z34" si="23">IF(AND($U34="電動弁",$V34=1),LOOKUP($K35,$AL$76:$BQ$76,$AL$77:$BQ$77),IF(AND($U34="逆流防止装置E",$V34=1),LOOKUP($I35,$AN$105:$AQ$105,$AN130:$AQ130),IF(AND($U34="逆流防止装置K",$V34=1),LOOKUP($I35,$AN$105:$AQ$105,$AN131:$AQ131),IF(AND($U34="逆流防止装置T",$V34=1),LOOKUP($I35,$AN$105:$AQ$105,$AN132:$AQ132),0))))</f>
        <v>0</v>
      </c>
      <c r="AA34" s="40"/>
      <c r="AB34" s="85"/>
      <c r="AC34" s="86">
        <f>IF(U34="Yスト",IF(I34="SGP-VB",LOOKUP(I35,◆入力◆⑤「4個同時放水」計算!$AL$4:$AX$4,◆入力◆⑤「4個同時放水」計算!$AL$11:$AX$11),IF(I34="SGP-PB",LOOKUP(I35,◆入力◆⑤「4個同時放水」計算!$AL$15:$AX$15,◆入力◆⑤「4個同時放水」計算!$AL$22:$AX$22),IF(I34="HIVP",LOOKUP(I35,◆入力◆⑤「4個同時放水」計算!$AL$26:$AX$26,◆入力◆⑤「4個同時放水」計算!$AL$33:$AX$33),IF(OR(I34="SGP",I34="フレキ"),LOOKUP(I35,◆入力◆⑤「4個同時放水」計算!$AL$37:$AX$37,◆入力◆⑤「4個同時放水」計算!$AL$44:$AX$44),IF(I34="SUS",LOOKUP(I35,◆入力◆⑤「4個同時放水」計算!$AL$48:$AX$48,◆入力◆⑤「4個同時放水」計算!$AL$55:$AX$55),IF(OR(I34="PE",I34="PP"),LOOKUP(I35,◆入力◆⑤「4個同時放水」計算!$AL$59:$AX$59,◆入力◆⑤「4個同時放水」計算!$AL$66:$AX$66))))))),0)</f>
        <v>0</v>
      </c>
      <c r="AD34" s="86">
        <f>IF($U34="仕切弁",LOOKUP($I35,◆入力◆⑤「4個同時放水」計算!$AL$4:$AX$4,◆入力◆⑤「4個同時放水」計算!$AL$9:$AX$9),IF($U34="逆止弁",LOOKUP($I35,◆入力◆⑤「4個同時放水」計算!$AL$4:$AX$4,◆入力◆⑤「4個同時放水」計算!$AL$10:$AX$10),IF($U34="水道メーター",LOOKUP($I35,◆入力◆⑤「4個同時放水」計算!$AL$69:$AQ$69,◆入力◆⑤「4個同時放水」計算!$AL$70:$AQ$70),IF($U34="止水栓",LOOKUP($I35,◆入力◆⑤「4個同時放水」計算!$AL$69:$AQ$69,◆入力◆⑤「4個同時放水」計算!$AL$71:$AQ$71),IF($U34="分水栓",LOOKUP($I35,◆入力◆⑤「4個同時放水」計算!$AL$69:$AQ$69,◆入力◆⑤「4個同時放水」計算!$AL$72:$AQ$72),IF($U34="巻き出しフレキ",LOOKUP($I35,◆入力◆⑤「4個同時放水」計算!$AL$69:$AQ$69,◆入力◆⑤「4個同時放水」計算!$AL$73:$AQ$73),IF($U34="",0,0)))))))</f>
        <v>0</v>
      </c>
      <c r="AE34" s="86">
        <f>IF($U34="仕切弁",LOOKUP($I35,◆入力◆⑤「4個同時放水」計算!$AL$15:$AX$15,◆入力◆⑤「4個同時放水」計算!$AL$20:$AX$20),IF($U34="逆止弁",LOOKUP($I35,◆入力◆⑤「4個同時放水」計算!$AL$15:$AX$15,◆入力◆⑤「4個同時放水」計算!$AL$21:$AX$21),IF($U34="水道メーター",LOOKUP($I35,◆入力◆⑤「4個同時放水」計算!$AL$69:$AQ$69,◆入力◆⑤「4個同時放水」計算!$AL$70:$AQ$70),IF($U34="止水栓",LOOKUP($I35,◆入力◆⑤「4個同時放水」計算!$AL$69:$AQ$69,◆入力◆⑤「4個同時放水」計算!$AL$71:$AQ$71),IF($U34="分水栓",LOOKUP($I35,◆入力◆⑤「4個同時放水」計算!$AL$69:$AQ$69,◆入力◆⑤「4個同時放水」計算!$AL$72:$AQ$72),IF($U34="巻き出しフレキ",LOOKUP($I35,◆入力◆⑤「4個同時放水」計算!$AL$69:$AQ$69,◆入力◆⑤「4個同時放水」計算!$AL$73:$AQ$73),IF($U34="",0,0)))))))</f>
        <v>0</v>
      </c>
      <c r="AF34" s="86">
        <f>IF($U34="仕切弁",LOOKUP($I35,◆入力◆⑤「4個同時放水」計算!$AL$26:$AX$26,◆入力◆⑤「4個同時放水」計算!$AL$31:$AX$31),IF($U34="逆止弁",LOOKUP($I35,◆入力◆⑤「4個同時放水」計算!$AL$26:$AX$26,◆入力◆⑤「4個同時放水」計算!$AL$32:$AX$32),IF($U34="水道メーター",LOOKUP($I35,◆入力◆⑤「4個同時放水」計算!$AL$69:$AQ$69,◆入力◆⑤「4個同時放水」計算!$AL$70:$AQ$70),IF($U34="止水栓",LOOKUP($I35,◆入力◆⑤「4個同時放水」計算!$AL$69:$AQ$69,◆入力◆⑤「4個同時放水」計算!$AL$71:$AQ$71),IF($U34="分水栓",LOOKUP($I35,◆入力◆⑤「4個同時放水」計算!$AL$69:$AQ$69,◆入力◆⑤「4個同時放水」計算!$AL$72:$AQ$72),IF($U34="巻き出しフレキ",LOOKUP($I35,◆入力◆⑤「4個同時放水」計算!$AL$69:$AQ$69,◆入力◆⑤「4個同時放水」計算!$AL$73:$AQ$73),IF($U34="",0,0)))))))</f>
        <v>0</v>
      </c>
      <c r="AG34" s="86">
        <f>IF($U34="仕切弁",LOOKUP($I35,◆入力◆⑤「4個同時放水」計算!$AL$37:$AX$37,◆入力◆⑤「4個同時放水」計算!$AL$42:$AX$42),IF($U34="逆止弁",LOOKUP($I35,◆入力◆⑤「4個同時放水」計算!$AL$37:$AX$37,◆入力◆⑤「4個同時放水」計算!$AL$43:$AX$43),IF($U34="水道メーター",LOOKUP($I35,◆入力◆⑤「4個同時放水」計算!$AL$69:$AQ$69,◆入力◆⑤「4個同時放水」計算!$AL$70:$AQ$70),IF($U34="止水栓",LOOKUP($I35,◆入力◆⑤「4個同時放水」計算!$AL$69:$AQ$69,◆入力◆⑤「4個同時放水」計算!$AL$71:$AQ$71),IF($U34="分水栓",LOOKUP($I35,◆入力◆⑤「4個同時放水」計算!$AL$69:$AQ$69,◆入力◆⑤「4個同時放水」計算!$AL$72:$AQ$72),IF($U34="巻き出しフレキ",LOOKUP($I35,◆入力◆⑤「4個同時放水」計算!$AL$69:$AQ$69,◆入力◆⑤「4個同時放水」計算!$AL$73:$AQ$73),IF($U34="",0,0)))))))</f>
        <v>0</v>
      </c>
      <c r="AH34" s="86">
        <f>IF($U34="仕切弁",LOOKUP($I35,◆入力◆⑤「4個同時放水」計算!$AL$48:$AX$48,◆入力◆⑤「4個同時放水」計算!$AL$53:$AX$53),IF($U34="逆止弁",LOOKUP($I35,◆入力◆⑤「4個同時放水」計算!$AL$48:$AX$48,◆入力◆⑤「4個同時放水」計算!$AL$54:$AX$54),IF($U34="水道メーター",LOOKUP($I35,◆入力◆⑤「4個同時放水」計算!$AL$69:$AQ$69,◆入力◆⑤「4個同時放水」計算!$AL$70:$AQ$70),IF($U34="止水栓",LOOKUP($I35,◆入力◆⑤「4個同時放水」計算!$AL$69:$AQ$69,◆入力◆⑤「4個同時放水」計算!$AL$71:$AQ$71),IF($U34="分水栓",LOOKUP($I35,◆入力◆⑤「4個同時放水」計算!$AL$69:$AQ$69,◆入力◆⑤「4個同時放水」計算!$AL$72:$AQ$72),IF($U34="巻き出しフレキ",LOOKUP($I35,◆入力◆⑤「4個同時放水」計算!$AL$69:$AQ$69,◆入力◆⑤「4個同時放水」計算!$AL$73:$AQ$73),IF($U34="",0,0)))))))</f>
        <v>0</v>
      </c>
      <c r="AI34" s="86">
        <f>IF($U34="仕切弁",LOOKUP($I35,◆入力◆⑤「4個同時放水」計算!$AL$59:$AX$59,◆入力◆⑤「4個同時放水」計算!$AL$64:$AX$64),IF($U34="逆止弁",LOOKUP($I35,◆入力◆⑤「4個同時放水」計算!$AL$59:$AX$59,◆入力◆⑤「4個同時放水」計算!$AL$65:$AX$65),IF($U34="水道メーター",LOOKUP($I35,◆入力◆⑤「4個同時放水」計算!$AL$69:$AQ$69,◆入力◆⑤「4個同時放水」計算!$AL$70:$AQ$70),IF($U34="止水栓",LOOKUP($I35,◆入力◆⑤「4個同時放水」計算!$AL$69:$AQ$69,◆入力◆⑤「4個同時放水」計算!$AL$71:$AQ$71),IF($U34="分水栓",LOOKUP($I35,◆入力◆⑤「4個同時放水」計算!$AL$69:$AQ$69,◆入力◆⑤「4個同時放水」計算!$AL$72:$AQ$72),IF($U34="巻き出しフレキ",LOOKUP($I35,◆入力◆⑤「4個同時放水」計算!$AL$69:$AQ$69,◆入力◆⑤「4個同時放水」計算!$AL$73:$AQ$73),IF($U34="",0,0)))))))</f>
        <v>0</v>
      </c>
      <c r="AJ34" s="115"/>
      <c r="AY34" s="40"/>
      <c r="AZ34" s="40"/>
      <c r="BA34" s="40"/>
      <c r="BB34" s="180"/>
      <c r="BC34" s="40"/>
      <c r="BD34" s="40"/>
      <c r="BE34" s="40"/>
      <c r="BF34" s="40"/>
      <c r="BG34" s="40"/>
      <c r="BK34" s="40"/>
      <c r="BL34" s="40"/>
      <c r="BM34" s="40"/>
      <c r="BN34" s="40"/>
      <c r="BO34" s="40"/>
      <c r="BP34" s="40"/>
      <c r="BQ34" s="40"/>
      <c r="BR34" s="40"/>
      <c r="BS34" s="40"/>
      <c r="BT34" s="40"/>
    </row>
    <row r="35" spans="6:72" x14ac:dyDescent="0.15">
      <c r="F35" s="235"/>
      <c r="G35" s="40"/>
      <c r="H35" s="186">
        <f>IF(H34=9,"⑨－⑩",IF(H34=8,"⑧－⑨",0))</f>
        <v>0</v>
      </c>
      <c r="I35" s="170"/>
      <c r="J35" s="40"/>
      <c r="K35" s="171" t="str">
        <f>IF(I35="","",K32)</f>
        <v/>
      </c>
      <c r="L35" s="74">
        <f>IF(I35="",0,IF(I35&gt;=65,K35^1.85*0.012/I36^4.87,ROUNDUP((0.0126+(0.01739-(0.1087*I36/100))/SQRT(4*K35/(60000*PI()*(I36/100)^2)))*(1/(I36/100))*((4*K35/(60000*PI()*(I36/100)^2))^2/(2*9.8)),4)))</f>
        <v>0</v>
      </c>
      <c r="M35" s="172"/>
      <c r="N35" s="84">
        <f>ROUNDUP(L35*M35,2)</f>
        <v>0</v>
      </c>
      <c r="O35" s="87" t="str">
        <f>IF(I35="","","Ｔ直")</f>
        <v/>
      </c>
      <c r="P35" s="174"/>
      <c r="Q35" s="88">
        <f>IF(I35=0,0,IF(I34="SGP-VB",LOOKUP(I35,◆入力◆⑤「4個同時放水」計算!$AL$4:$AX$4,◆入力◆⑤「4個同時放水」計算!$AL$7:$AX$7),IF(I34="SGP-PB",LOOKUP(I35,◆入力◆⑤「4個同時放水」計算!$AL$15:$AX$15,◆入力◆⑤「4個同時放水」計算!$AL$18:$AX$18),IF(I34="HIVP",LOOKUP(I35,◆入力◆⑤「4個同時放水」計算!$AL$26:$AX$26,◆入力◆⑤「4個同時放水」計算!$AL$29:$AX$29),IF(OR(I34="SGP",I34="フレキ"),LOOKUP(I35,◆入力◆⑤「4個同時放水」計算!$AL$37:$AX$37,◆入力◆⑤「4個同時放水」計算!$AL$40:$AX$40),IF(I34="SUS",LOOKUP(I35,◆入力◆⑤「4個同時放水」計算!$AL$48:$AX$48,◆入力◆⑤「4個同時放水」計算!$AL$51:$AX$51),IF(OR(I34="PE",I34="PP"),LOOKUP(I35,◆入力◆⑤「4個同時放水」計算!$AL$59:$AX$59,◆入力◆⑤「4個同時放水」計算!$AL$62:$AX$62))))))))</f>
        <v>0</v>
      </c>
      <c r="R35" s="82">
        <f t="shared" si="0"/>
        <v>0</v>
      </c>
      <c r="S35" s="83">
        <f>R34+R35+R36</f>
        <v>0</v>
      </c>
      <c r="T35" s="84">
        <f>ROUNDUP(L35*S35,2)</f>
        <v>0</v>
      </c>
      <c r="U35" s="177"/>
      <c r="V35" s="174"/>
      <c r="W35" s="82">
        <f>IF($U35="Yスト",AC35,IF($I34="sgp-vb",AD35,IF($I34="sgp-pb",AE35,IF($I34="hivp",AF35,IF(OR($I34="sgp",$I34="フレキ"),AG35,IF($I34="sus",AH35,IF(OR($I34="PE",$I34="PP"),AI35,0)))))))</f>
        <v>0</v>
      </c>
      <c r="X35" s="82">
        <f t="shared" si="1"/>
        <v>0</v>
      </c>
      <c r="Y35" s="83">
        <f>SUM(X34:X36)</f>
        <v>0</v>
      </c>
      <c r="Z35" s="84">
        <f t="shared" ref="Z35" si="24">IF(AND($U35="電動弁",$V35=1),LOOKUP($K35,$AL$76:$BQ$76,$AL$77:$BQ$77),IF(AND($U35="逆流防止装置E",$V35=1),LOOKUP($I35,$AN$105:$AQ$105,$AN130:$AQ130),IF(AND($U35="逆流防止装置K",$V35=1),LOOKUP($I35,$AN$105:$AQ$105,$AN131:$AQ131),IF(AND($U35="逆流防止装置T",$V35=1),LOOKUP($I35,$AN$105:$AQ$105,$AN132:$AQ132),0))))</f>
        <v>0</v>
      </c>
      <c r="AA35" s="40"/>
      <c r="AB35" s="84">
        <f>N35+T35+Z34+Z35+Z36</f>
        <v>0</v>
      </c>
      <c r="AC35" s="89">
        <f>IF(U35="Yスト",IF(I34="SGP-VB",LOOKUP(I35,◆入力◆⑤「4個同時放水」計算!$AL$4:$AX$4,◆入力◆⑤「4個同時放水」計算!$AL$11:$AX$11),IF(I34="SGP-PB",LOOKUP(I35,◆入力◆⑤「4個同時放水」計算!$AL$15:$AX$15,◆入力◆⑤「4個同時放水」計算!$AL$22:$AX$22),IF(I34="HIVP",LOOKUP(I35,◆入力◆⑤「4個同時放水」計算!$AL$26:$AX$26,◆入力◆⑤「4個同時放水」計算!$AL$33:$AX$33),IF(OR(I34="SGP",I34="フレキ"),LOOKUP(I35,◆入力◆⑤「4個同時放水」計算!$AL$37:$AX$37,◆入力◆⑤「4個同時放水」計算!$AL$44:$AX$44),IF(I34="SUS",LOOKUP(I35,◆入力◆⑤「4個同時放水」計算!$AL$48:$AX$48,◆入力◆⑤「4個同時放水」計算!$AL$55:$AX$55),IF(OR(I34="PE",I34="PP"),LOOKUP(I35,◆入力◆⑤「4個同時放水」計算!$AL$59:$AX$59,◆入力◆⑤「4個同時放水」計算!$AL$66:$AX$66))))))),0)</f>
        <v>0</v>
      </c>
      <c r="AD35" s="90">
        <f>IF($U35="仕切弁",LOOKUP($I35,◆入力◆⑤「4個同時放水」計算!$AL$4:$AX$4,◆入力◆⑤「4個同時放水」計算!$AL$9:$AX$9),IF($U35="逆止弁",LOOKUP($I35,◆入力◆⑤「4個同時放水」計算!$AL$4:$AX$4,◆入力◆⑤「4個同時放水」計算!$AL$10:$AX$10),IF($U35="水道メーター",LOOKUP($I35,◆入力◆⑤「4個同時放水」計算!$AL$69:$AQ$69,◆入力◆⑤「4個同時放水」計算!$AL$70:$AQ$70),IF($U35="止水栓",LOOKUP($I35,◆入力◆⑤「4個同時放水」計算!$AL$69:$AQ$69,◆入力◆⑤「4個同時放水」計算!$AL$71:$AQ$71),IF($U35="分水栓",LOOKUP($I35,◆入力◆⑤「4個同時放水」計算!$AL$69:$AQ$69,◆入力◆⑤「4個同時放水」計算!$AL$72:$AQ$72),IF($U35="巻き出しフレキ",LOOKUP($I35,◆入力◆⑤「4個同時放水」計算!$AL$69:$AQ$69,◆入力◆⑤「4個同時放水」計算!$AL$73:$AQ$73),IF($U35="",0,0)))))))</f>
        <v>0</v>
      </c>
      <c r="AE35" s="90">
        <f>IF($U35="仕切弁",LOOKUP($I35,◆入力◆⑤「4個同時放水」計算!$AL$15:$AX$15,◆入力◆⑤「4個同時放水」計算!$AL$20:$AX$20),IF($U35="逆止弁",LOOKUP($I35,◆入力◆⑤「4個同時放水」計算!$AL$15:$AX$15,◆入力◆⑤「4個同時放水」計算!$AL$21:$AX$21),IF($U35="水道メーター",LOOKUP($I35,◆入力◆⑤「4個同時放水」計算!$AL$69:$AQ$69,◆入力◆⑤「4個同時放水」計算!$AL$70:$AQ$70),IF($U35="止水栓",LOOKUP($I35,◆入力◆⑤「4個同時放水」計算!$AL$69:$AQ$69,◆入力◆⑤「4個同時放水」計算!$AL$71:$AQ$71),IF($U35="分水栓",LOOKUP($I35,◆入力◆⑤「4個同時放水」計算!$AL$69:$AQ$69,◆入力◆⑤「4個同時放水」計算!$AL$72:$AQ$72),IF($U35="巻き出しフレキ",LOOKUP($I35,◆入力◆⑤「4個同時放水」計算!$AL$69:$AQ$69,◆入力◆⑤「4個同時放水」計算!$AL$73:$AQ$73),IF($U35="",0,0)))))))</f>
        <v>0</v>
      </c>
      <c r="AF35" s="90">
        <f>IF($U35="仕切弁",LOOKUP($I35,◆入力◆⑤「4個同時放水」計算!$AL$26:$AX$26,◆入力◆⑤「4個同時放水」計算!$AL$31:$AX$31),IF($U35="逆止弁",LOOKUP($I35,◆入力◆⑤「4個同時放水」計算!$AL$26:$AX$26,◆入力◆⑤「4個同時放水」計算!$AL$32:$AX$32),IF($U35="水道メーター",LOOKUP($I35,◆入力◆⑤「4個同時放水」計算!$AL$69:$AQ$69,◆入力◆⑤「4個同時放水」計算!$AL$70:$AQ$70),IF($U35="止水栓",LOOKUP($I35,◆入力◆⑤「4個同時放水」計算!$AL$69:$AQ$69,◆入力◆⑤「4個同時放水」計算!$AL$71:$AQ$71),IF($U35="分水栓",LOOKUP($I35,◆入力◆⑤「4個同時放水」計算!$AL$69:$AQ$69,◆入力◆⑤「4個同時放水」計算!$AL$72:$AQ$72),IF($U35="巻き出しフレキ",LOOKUP($I35,◆入力◆⑤「4個同時放水」計算!$AL$69:$AQ$69,◆入力◆⑤「4個同時放水」計算!$AL$73:$AQ$73),IF($U35="",0,0)))))))</f>
        <v>0</v>
      </c>
      <c r="AG35" s="90">
        <f>IF($U35="仕切弁",LOOKUP($I35,◆入力◆⑤「4個同時放水」計算!$AL$37:$AX$37,◆入力◆⑤「4個同時放水」計算!$AL$42:$AX$42),IF($U35="逆止弁",LOOKUP($I35,◆入力◆⑤「4個同時放水」計算!$AL$37:$AX$37,◆入力◆⑤「4個同時放水」計算!$AL$43:$AX$43),IF($U35="水道メーター",LOOKUP($I35,◆入力◆⑤「4個同時放水」計算!$AL$69:$AQ$69,◆入力◆⑤「4個同時放水」計算!$AL$70:$AQ$70),IF($U35="止水栓",LOOKUP($I35,◆入力◆⑤「4個同時放水」計算!$AL$69:$AQ$69,◆入力◆⑤「4個同時放水」計算!$AL$71:$AQ$71),IF($U35="分水栓",LOOKUP($I35,◆入力◆⑤「4個同時放水」計算!$AL$69:$AQ$69,◆入力◆⑤「4個同時放水」計算!$AL$72:$AQ$72),IF($U35="巻き出しフレキ",LOOKUP($I35,◆入力◆⑤「4個同時放水」計算!$AL$69:$AQ$69,◆入力◆⑤「4個同時放水」計算!$AL$73:$AQ$73),IF($U35="",0,0)))))))</f>
        <v>0</v>
      </c>
      <c r="AH35" s="90">
        <f>IF($U35="仕切弁",LOOKUP($I35,◆入力◆⑤「4個同時放水」計算!$AL$48:$AX$48,◆入力◆⑤「4個同時放水」計算!$AL$53:$AX$53),IF($U35="逆止弁",LOOKUP($I35,◆入力◆⑤「4個同時放水」計算!$AL$48:$AX$48,◆入力◆⑤「4個同時放水」計算!$AL$54:$AX$54),IF($U35="水道メーター",LOOKUP($I35,◆入力◆⑤「4個同時放水」計算!$AL$69:$AQ$69,◆入力◆⑤「4個同時放水」計算!$AL$70:$AQ$70),IF($U35="止水栓",LOOKUP($I35,◆入力◆⑤「4個同時放水」計算!$AL$69:$AQ$69,◆入力◆⑤「4個同時放水」計算!$AL$71:$AQ$71),IF($U35="分水栓",LOOKUP($I35,◆入力◆⑤「4個同時放水」計算!$AL$69:$AQ$69,◆入力◆⑤「4個同時放水」計算!$AL$72:$AQ$72),IF($U35="巻き出しフレキ",LOOKUP($I35,◆入力◆⑤「4個同時放水」計算!$AL$69:$AQ$69,◆入力◆⑤「4個同時放水」計算!$AL$73:$AQ$73),IF($U35="",0,0)))))))</f>
        <v>0</v>
      </c>
      <c r="AI35" s="90">
        <f>IF($U35="仕切弁",LOOKUP($I35,◆入力◆⑤「4個同時放水」計算!$AL$59:$AX$59,◆入力◆⑤「4個同時放水」計算!$AL$64:$AX$64),IF($U35="逆止弁",LOOKUP($I35,◆入力◆⑤「4個同時放水」計算!$AL$59:$AX$59,◆入力◆⑤「4個同時放水」計算!$AL$65:$AX$65),IF($U35="水道メーター",LOOKUP($I35,◆入力◆⑤「4個同時放水」計算!$AL$69:$AQ$69,◆入力◆⑤「4個同時放水」計算!$AL$70:$AQ$70),IF($U35="止水栓",LOOKUP($I35,◆入力◆⑤「4個同時放水」計算!$AL$69:$AQ$69,◆入力◆⑤「4個同時放水」計算!$AL$71:$AQ$71),IF($U35="分水栓",LOOKUP($I35,◆入力◆⑤「4個同時放水」計算!$AL$69:$AQ$69,◆入力◆⑤「4個同時放水」計算!$AL$72:$AQ$72),IF($U35="巻き出しフレキ",LOOKUP($I35,◆入力◆⑤「4個同時放水」計算!$AL$69:$AQ$69,◆入力◆⑤「4個同時放水」計算!$AL$73:$AQ$73),IF($U35="",0,0)))))))</f>
        <v>0</v>
      </c>
      <c r="AJ35" s="115"/>
      <c r="AY35" s="40"/>
      <c r="AZ35" s="40"/>
      <c r="BA35" s="40"/>
      <c r="BB35" s="180"/>
      <c r="BC35" s="40"/>
      <c r="BD35" s="40"/>
      <c r="BE35" s="40"/>
      <c r="BF35" s="40"/>
      <c r="BG35" s="40"/>
      <c r="BK35" s="40"/>
      <c r="BL35" s="40"/>
      <c r="BM35" s="40"/>
      <c r="BN35" s="40"/>
      <c r="BO35" s="40"/>
      <c r="BP35" s="40"/>
      <c r="BQ35" s="40"/>
      <c r="BR35" s="40"/>
      <c r="BS35" s="40"/>
      <c r="BT35" s="40"/>
    </row>
    <row r="36" spans="6:72" x14ac:dyDescent="0.15">
      <c r="F36" s="235"/>
      <c r="G36" s="40"/>
      <c r="H36" s="145"/>
      <c r="I36" s="91">
        <f>IF(I35="",0,IF(I34="SGP-VB",LOOKUP(I35,◆入力◆⑤「4個同時放水」計算!$AL$4:$AX$4,◆入力◆⑤「4個同時放水」計算!$AL$5:$AX$5),IF(I34="SGP-PB",LOOKUP(I35,◆入力◆⑤「4個同時放水」計算!$AL$15:$AX$15,◆入力◆⑤「4個同時放水」計算!$AL$16:$AX$16),IF(I34="HIVP",LOOKUP(I35,◆入力◆⑤「4個同時放水」計算!$AL$26:$AX$26,◆入力◆⑤「4個同時放水」計算!$AL$27:$AX$27),IF(OR(I34="SGP",I34="フレキ"),LOOKUP(I35,◆入力◆⑤「4個同時放水」計算!$AL$37:$AX$37,◆入力◆⑤「4個同時放水」計算!$AL$38:$AX$38),IF(I34="SUS",LOOKUP(I35,◆入力◆⑤「4個同時放水」計算!$AL$48:$AX$48,◆入力◆⑤「4個同時放水」計算!$AL$49:$AX$49),IF(OR(I34="PE",I34="PP"),LOOKUP(I35,◆入力◆⑤「4個同時放水」計算!$AL$59:$AX$59,◆入力◆⑤「4個同時放水」計算!$AL$60:$AX$60))))))))</f>
        <v>0</v>
      </c>
      <c r="J36" s="40"/>
      <c r="K36" s="73"/>
      <c r="L36" s="74"/>
      <c r="M36" s="75"/>
      <c r="N36" s="76"/>
      <c r="O36" s="87" t="str">
        <f>IF(I35="","","Ｔ分")</f>
        <v/>
      </c>
      <c r="P36" s="175"/>
      <c r="Q36" s="88">
        <f>IF(I35=0,0,IF(I34="SGP-VB",LOOKUP(I35,◆入力◆⑤「4個同時放水」計算!$AL$4:$AX$4,◆入力◆⑤「4個同時放水」計算!$AL$8:$AX$8),IF(I34="SGP-PB",LOOKUP(I35,◆入力◆⑤「4個同時放水」計算!$AL$15:$AX$15,◆入力◆⑤「4個同時放水」計算!$AL$19:$AX$19),IF(I34="HIVP",LOOKUP(I35,◆入力◆⑤「4個同時放水」計算!$AL$26:$AX$26,◆入力◆⑤「4個同時放水」計算!$AL$30:$AX$30),IF(OR(I34="SGP",I34="フレキ"),LOOKUP(I35,◆入力◆⑤「4個同時放水」計算!$AL$37:$AX$37,◆入力◆⑤「4個同時放水」計算!$AL$41:$AX$41),IF(I34="SUS",LOOKUP(I35,◆入力◆⑤「4個同時放水」計算!$AL$48:$AX$48,◆入力◆⑤「4個同時放水」計算!$AL$52:$AX$52),IF(OR(I34="PE",I34="PP"),LOOKUP(I35,◆入力◆⑤「4個同時放水」計算!$AL$59:$AX$59,◆入力◆⑤「4個同時放水」計算!$AL$63:$AX$63))))))))</f>
        <v>0</v>
      </c>
      <c r="R36" s="100">
        <f t="shared" si="0"/>
        <v>0</v>
      </c>
      <c r="S36" s="101"/>
      <c r="T36" s="92"/>
      <c r="U36" s="178"/>
      <c r="V36" s="174"/>
      <c r="W36" s="100">
        <f>IF($U36="Yスト",AC36,IF($I34="sgp-vb",AD36,IF($I34="sgp-pb",AE36,IF($I34="hivp",AF36,IF(OR($I34="sgp",$I34="フレキ"),AG36,IF($I34="sus",AH36,IF(OR($I34="PE",$I34="PP"),AI36,0)))))))</f>
        <v>0</v>
      </c>
      <c r="X36" s="82">
        <f t="shared" si="1"/>
        <v>0</v>
      </c>
      <c r="Y36" s="83"/>
      <c r="Z36" s="92">
        <f t="shared" ref="Z36" si="25">ROUNDUP(L35*Y35,2)</f>
        <v>0</v>
      </c>
      <c r="AA36" s="40"/>
      <c r="AB36" s="93"/>
      <c r="AC36" s="90">
        <f>IF(U36="Yスト",IF(I34="SGP-VB",LOOKUP(I35,◆入力◆⑤「4個同時放水」計算!$AL$4:$AX$4,◆入力◆⑤「4個同時放水」計算!$AL$11:$AX$11),IF(I34="SGP-PB",LOOKUP(I35,◆入力◆⑤「4個同時放水」計算!$AL$15:$AX$15,◆入力◆⑤「4個同時放水」計算!$AL$22:$AX$22),IF(I34="HIVP",LOOKUP(I35,◆入力◆⑤「4個同時放水」計算!$AL$26:$AX$26,◆入力◆⑤「4個同時放水」計算!$AL$33:$AX$33),IF(OR(I34="SGP",I34="フレキ"),LOOKUP(I35,◆入力◆⑤「4個同時放水」計算!$AL$37:$AX$37,◆入力◆⑤「4個同時放水」計算!$AL$44:$AX$44),IF(I34="SUS",LOOKUP(I35,◆入力◆⑤「4個同時放水」計算!$AL$48:$AX$48,◆入力◆⑤「4個同時放水」計算!$AL$55:$AX$55),IF(OR(I34="PE",I34="PP"),LOOKUP(I35,◆入力◆⑤「4個同時放水」計算!$AL$59:$AX$59,◆入力◆⑤「4個同時放水」計算!$AL$66:$AX$66))))))),0)</f>
        <v>0</v>
      </c>
      <c r="AD36" s="90">
        <f>IF($U36="仕切弁",LOOKUP($I35,◆入力◆⑤「4個同時放水」計算!$AL$4:$AX$4,◆入力◆⑤「4個同時放水」計算!$AL$9:$AX$9),IF($U36="逆止弁",LOOKUP($I35,◆入力◆⑤「4個同時放水」計算!$AL$4:$AX$4,◆入力◆⑤「4個同時放水」計算!$AL$10:$AX$10),IF($U36="水道メーター",LOOKUP($I35,◆入力◆⑤「4個同時放水」計算!$AL$69:$AQ$69,◆入力◆⑤「4個同時放水」計算!$AL$70:$AQ$70),IF($U36="止水栓",LOOKUP($I35,◆入力◆⑤「4個同時放水」計算!$AL$69:$AQ$69,◆入力◆⑤「4個同時放水」計算!$AL$71:$AQ$71),IF($U36="分水栓",LOOKUP($I35,◆入力◆⑤「4個同時放水」計算!$AL$69:$AQ$69,◆入力◆⑤「4個同時放水」計算!$AL$72:$AQ$72),IF($U36="巻き出しフレキ",LOOKUP($I35,◆入力◆⑤「4個同時放水」計算!$AL$69:$AQ$69,◆入力◆⑤「4個同時放水」計算!$AL$73:$AQ$73),IF($U36="",0,0)))))))</f>
        <v>0</v>
      </c>
      <c r="AE36" s="90">
        <f>IF($U36="仕切弁",LOOKUP($I35,◆入力◆⑤「4個同時放水」計算!$AL$15:$AX$15,◆入力◆⑤「4個同時放水」計算!$AL$20:$AX$20),IF($U36="逆止弁",LOOKUP($I35,◆入力◆⑤「4個同時放水」計算!$AL$15:$AX$15,◆入力◆⑤「4個同時放水」計算!$AL$21:$AX$21),IF($U36="水道メーター",LOOKUP($I35,◆入力◆⑤「4個同時放水」計算!$AL$69:$AQ$69,◆入力◆⑤「4個同時放水」計算!$AL$70:$AQ$70),IF($U36="止水栓",LOOKUP($I35,◆入力◆⑤「4個同時放水」計算!$AL$69:$AQ$69,◆入力◆⑤「4個同時放水」計算!$AL$71:$AQ$71),IF($U36="分水栓",LOOKUP($I35,◆入力◆⑤「4個同時放水」計算!$AL$69:$AQ$69,◆入力◆⑤「4個同時放水」計算!$AL$72:$AQ$72),IF($U36="巻き出しフレキ",LOOKUP($I35,◆入力◆⑤「4個同時放水」計算!$AL$69:$AQ$69,◆入力◆⑤「4個同時放水」計算!$AL$73:$AQ$73),IF($U36="",0,0)))))))</f>
        <v>0</v>
      </c>
      <c r="AF36" s="90">
        <f>IF($U36="仕切弁",LOOKUP($I35,◆入力◆⑤「4個同時放水」計算!$AL$26:$AX$26,◆入力◆⑤「4個同時放水」計算!$AL$31:$AX$31),IF($U36="逆止弁",LOOKUP($I35,◆入力◆⑤「4個同時放水」計算!$AL$26:$AX$26,◆入力◆⑤「4個同時放水」計算!$AL$32:$AX$32),IF($U36="水道メーター",LOOKUP($I35,◆入力◆⑤「4個同時放水」計算!$AL$69:$AQ$69,◆入力◆⑤「4個同時放水」計算!$AL$70:$AQ$70),IF($U36="止水栓",LOOKUP($I35,◆入力◆⑤「4個同時放水」計算!$AL$69:$AQ$69,◆入力◆⑤「4個同時放水」計算!$AL$71:$AQ$71),IF($U36="分水栓",LOOKUP($I35,◆入力◆⑤「4個同時放水」計算!$AL$69:$AQ$69,◆入力◆⑤「4個同時放水」計算!$AL$72:$AQ$72),IF($U36="巻き出しフレキ",LOOKUP($I35,◆入力◆⑤「4個同時放水」計算!$AL$69:$AQ$69,◆入力◆⑤「4個同時放水」計算!$AL$73:$AQ$73),IF($U36="",0,0)))))))</f>
        <v>0</v>
      </c>
      <c r="AG36" s="90">
        <f>IF($U36="仕切弁",LOOKUP($I35,◆入力◆⑤「4個同時放水」計算!$AL$37:$AX$37,◆入力◆⑤「4個同時放水」計算!$AL$42:$AX$42),IF($U36="逆止弁",LOOKUP($I35,◆入力◆⑤「4個同時放水」計算!$AL$37:$AX$37,◆入力◆⑤「4個同時放水」計算!$AL$43:$AX$43),IF($U36="水道メーター",LOOKUP($I35,◆入力◆⑤「4個同時放水」計算!$AL$69:$AQ$69,◆入力◆⑤「4個同時放水」計算!$AL$70:$AQ$70),IF($U36="止水栓",LOOKUP($I35,◆入力◆⑤「4個同時放水」計算!$AL$69:$AQ$69,◆入力◆⑤「4個同時放水」計算!$AL$71:$AQ$71),IF($U36="分水栓",LOOKUP($I35,◆入力◆⑤「4個同時放水」計算!$AL$69:$AQ$69,◆入力◆⑤「4個同時放水」計算!$AL$72:$AQ$72),IF($U36="巻き出しフレキ",LOOKUP($I35,◆入力◆⑤「4個同時放水」計算!$AL$69:$AQ$69,◆入力◆⑤「4個同時放水」計算!$AL$73:$AQ$73),IF($U36="",0,0)))))))</f>
        <v>0</v>
      </c>
      <c r="AH36" s="90">
        <f>IF($U36="仕切弁",LOOKUP($I35,◆入力◆⑤「4個同時放水」計算!$AL$48:$AX$48,◆入力◆⑤「4個同時放水」計算!$AL$53:$AX$53),IF($U36="逆止弁",LOOKUP($I35,◆入力◆⑤「4個同時放水」計算!$AL$48:$AX$48,◆入力◆⑤「4個同時放水」計算!$AL$54:$AX$54),IF($U36="水道メーター",LOOKUP($I35,◆入力◆⑤「4個同時放水」計算!$AL$69:$AQ$69,◆入力◆⑤「4個同時放水」計算!$AL$70:$AQ$70),IF($U36="止水栓",LOOKUP($I35,◆入力◆⑤「4個同時放水」計算!$AL$69:$AQ$69,◆入力◆⑤「4個同時放水」計算!$AL$71:$AQ$71),IF($U36="分水栓",LOOKUP($I35,◆入力◆⑤「4個同時放水」計算!$AL$69:$AQ$69,◆入力◆⑤「4個同時放水」計算!$AL$72:$AQ$72),IF($U36="巻き出しフレキ",LOOKUP($I35,◆入力◆⑤「4個同時放水」計算!$AL$69:$AQ$69,◆入力◆⑤「4個同時放水」計算!$AL$73:$AQ$73),IF($U36="",0,0)))))))</f>
        <v>0</v>
      </c>
      <c r="AI36" s="90">
        <f>IF($U36="仕切弁",LOOKUP($I35,◆入力◆⑤「4個同時放水」計算!$AL$59:$AX$59,◆入力◆⑤「4個同時放水」計算!$AL$64:$AX$64),IF($U36="逆止弁",LOOKUP($I35,◆入力◆⑤「4個同時放水」計算!$AL$59:$AX$59,◆入力◆⑤「4個同時放水」計算!$AL$65:$AX$65),IF($U36="水道メーター",LOOKUP($I35,◆入力◆⑤「4個同時放水」計算!$AL$69:$AQ$69,◆入力◆⑤「4個同時放水」計算!$AL$70:$AQ$70),IF($U36="止水栓",LOOKUP($I35,◆入力◆⑤「4個同時放水」計算!$AL$69:$AQ$69,◆入力◆⑤「4個同時放水」計算!$AL$71:$AQ$71),IF($U36="分水栓",LOOKUP($I35,◆入力◆⑤「4個同時放水」計算!$AL$69:$AQ$69,◆入力◆⑤「4個同時放水」計算!$AL$72:$AQ$72),IF($U36="巻き出しフレキ",LOOKUP($I35,◆入力◆⑤「4個同時放水」計算!$AL$69:$AQ$69,◆入力◆⑤「4個同時放水」計算!$AL$73:$AQ$73),IF($U36="",0,0)))))))</f>
        <v>0</v>
      </c>
      <c r="AJ36" s="115"/>
      <c r="AK36" s="108" t="s">
        <v>59</v>
      </c>
      <c r="AL36" s="108"/>
      <c r="AM36" s="108"/>
      <c r="AN36" s="109" t="s">
        <v>60</v>
      </c>
      <c r="AY36" s="40"/>
      <c r="AZ36" s="40"/>
      <c r="BA36" s="40"/>
      <c r="BB36" s="180"/>
      <c r="BC36" s="40"/>
      <c r="BD36" s="40"/>
      <c r="BE36" s="40"/>
      <c r="BF36" s="40"/>
      <c r="BG36" s="40"/>
      <c r="BK36" s="40"/>
      <c r="BL36" s="40"/>
      <c r="BM36" s="40"/>
      <c r="BN36" s="40"/>
      <c r="BO36" s="40"/>
      <c r="BP36" s="40"/>
      <c r="BQ36" s="40"/>
      <c r="BR36" s="40"/>
      <c r="BS36" s="40"/>
      <c r="BT36" s="40"/>
    </row>
    <row r="37" spans="6:72" x14ac:dyDescent="0.15">
      <c r="F37" s="235" t="s">
        <v>30</v>
      </c>
      <c r="G37" s="40"/>
      <c r="H37" s="169"/>
      <c r="I37" s="189" t="str">
        <f>IF(H37="","",◆入力◆①配管容量!$M$3)</f>
        <v/>
      </c>
      <c r="J37" s="40"/>
      <c r="K37" s="94"/>
      <c r="L37" s="95"/>
      <c r="M37" s="96"/>
      <c r="N37" s="85"/>
      <c r="O37" s="77" t="str">
        <f>IF(I38="","","E９０°")</f>
        <v/>
      </c>
      <c r="P37" s="173"/>
      <c r="Q37" s="78">
        <f>IF(I38=0,0,IF(I37="SGP-VB",LOOKUP(I38,◆入力◆⑤「4個同時放水」計算!$AL$4:$AX$4,◆入力◆⑤「4個同時放水」計算!$AL$6:$AX$6),IF(I37="SGP-PB",LOOKUP(I38,◆入力◆⑤「4個同時放水」計算!$AL$15:$AX$15,◆入力◆⑤「4個同時放水」計算!$AL$17:$AX$17),IF(I37="HIVP",LOOKUP(I38,◆入力◆⑤「4個同時放水」計算!$AL$26:$AX$26,◆入力◆⑤「4個同時放水」計算!$AL$28:$AX$28),IF(OR(I37="SGP",I37="フレキ"),LOOKUP(I38,◆入力◆⑤「4個同時放水」計算!$AL$37:$AX$37,◆入力◆⑤「4個同時放水」計算!$AL$39:$AX$39),IF(I37="SUS",LOOKUP(I38,◆入力◆⑤「4個同時放水」計算!$AL$48:$AX$48,◆入力◆⑤「4個同時放水」計算!$AL$50:$AX$50),IF(OR(I37="PE",I37="PP"),LOOKUP(I38,◆入力◆⑤「4個同時放水」計算!$AL$59:$AX$59,◆入力◆⑤「4個同時放水」計算!$AL$61:$AX$61))))))))</f>
        <v>0</v>
      </c>
      <c r="R37" s="79">
        <f t="shared" si="0"/>
        <v>0</v>
      </c>
      <c r="S37" s="80"/>
      <c r="T37" s="81">
        <v>0</v>
      </c>
      <c r="U37" s="176"/>
      <c r="V37" s="173"/>
      <c r="W37" s="82">
        <f>IF($U37="Yスト",AC37,IF($I37="sgp-vb",AD37,IF($I37="sgp-pb",AE37,IF($I37="hivp",AF37,IF(OR($I37="sgp",$I37="フレキ"),AG37,IF($I37="sus",AH37,IF(OR($I37="PE",$I37="PP"),AI37,0)))))))</f>
        <v>0</v>
      </c>
      <c r="X37" s="79">
        <f t="shared" si="1"/>
        <v>0</v>
      </c>
      <c r="Y37" s="80"/>
      <c r="Z37" s="84">
        <f t="shared" ref="Z37" si="26">IF(AND($U37="電動弁",$V37=1),LOOKUP($K38,$AL$76:$BQ$76,$AL$77:$BQ$77),IF(AND($U37="逆流防止装置E",$V37=1),LOOKUP($I38,$AN$105:$AQ$105,$AN133:$AQ133),IF(AND($U37="逆流防止装置K",$V37=1),LOOKUP($I38,$AN$105:$AQ$105,$AN134:$AQ134),IF(AND($U37="逆流防止装置T",$V37=1),LOOKUP($I38,$AN$105:$AQ$105,$AN135:$AQ135),0))))</f>
        <v>0</v>
      </c>
      <c r="AA37" s="40"/>
      <c r="AB37" s="76"/>
      <c r="AC37" s="86">
        <f>IF(U37="Yスト",IF(I37="SGP-VB",LOOKUP(I38,◆入力◆⑤「4個同時放水」計算!$AL$4:$AX$4,◆入力◆⑤「4個同時放水」計算!$AL$11:$AX$11),IF(I37="SGP-PB",LOOKUP(I38,◆入力◆⑤「4個同時放水」計算!$AL$15:$AX$15,◆入力◆⑤「4個同時放水」計算!$AL$22:$AX$22),IF(I37="HIVP",LOOKUP(I38,◆入力◆⑤「4個同時放水」計算!$AL$26:$AX$26,◆入力◆⑤「4個同時放水」計算!$AL$33:$AX$33),IF(OR(I37="SGP",I37="フレキ"),LOOKUP(I38,◆入力◆⑤「4個同時放水」計算!$AL$37:$AX$37,◆入力◆⑤「4個同時放水」計算!$AL$44:$AX$44),IF(I37="SUS",LOOKUP(I38,◆入力◆⑤「4個同時放水」計算!$AL$48:$AX$48,◆入力◆⑤「4個同時放水」計算!$AL$55:$AX$55),IF(OR(I37="PE",I37="PP"),LOOKUP(I38,◆入力◆⑤「4個同時放水」計算!$AL$59:$AX$59,◆入力◆⑤「4個同時放水」計算!$AL$66:$AX$66))))))),0)</f>
        <v>0</v>
      </c>
      <c r="AD37" s="86">
        <f>IF($U37="仕切弁",LOOKUP($I38,◆入力◆⑤「4個同時放水」計算!$AL$4:$AX$4,◆入力◆⑤「4個同時放水」計算!$AL$9:$AX$9),IF($U37="逆止弁",LOOKUP($I38,◆入力◆⑤「4個同時放水」計算!$AL$4:$AX$4,◆入力◆⑤「4個同時放水」計算!$AL$10:$AX$10),IF($U37="水道メーター",LOOKUP($I38,◆入力◆⑤「4個同時放水」計算!$AL$69:$AQ$69,◆入力◆⑤「4個同時放水」計算!$AL$70:$AQ$70),IF($U37="止水栓",LOOKUP($I38,◆入力◆⑤「4個同時放水」計算!$AL$69:$AQ$69,◆入力◆⑤「4個同時放水」計算!$AL$71:$AQ$71),IF($U37="分水栓",LOOKUP($I38,◆入力◆⑤「4個同時放水」計算!$AL$69:$AQ$69,◆入力◆⑤「4個同時放水」計算!$AL$72:$AQ$72),IF($U37="巻き出しフレキ",LOOKUP($I38,◆入力◆⑤「4個同時放水」計算!$AL$69:$AQ$69,◆入力◆⑤「4個同時放水」計算!$AL$73:$AQ$73),IF($U37="",0,0)))))))</f>
        <v>0</v>
      </c>
      <c r="AE37" s="86">
        <f>IF($U37="仕切弁",LOOKUP($I38,◆入力◆⑤「4個同時放水」計算!$AL$15:$AX$15,◆入力◆⑤「4個同時放水」計算!$AL$20:$AX$20),IF($U37="逆止弁",LOOKUP($I38,◆入力◆⑤「4個同時放水」計算!$AL$15:$AX$15,◆入力◆⑤「4個同時放水」計算!$AL$21:$AX$21),IF($U37="水道メーター",LOOKUP($I38,◆入力◆⑤「4個同時放水」計算!$AL$69:$AQ$69,◆入力◆⑤「4個同時放水」計算!$AL$70:$AQ$70),IF($U37="止水栓",LOOKUP($I38,◆入力◆⑤「4個同時放水」計算!$AL$69:$AQ$69,◆入力◆⑤「4個同時放水」計算!$AL$71:$AQ$71),IF($U37="分水栓",LOOKUP($I38,◆入力◆⑤「4個同時放水」計算!$AL$69:$AQ$69,◆入力◆⑤「4個同時放水」計算!$AL$72:$AQ$72),IF($U37="巻き出しフレキ",LOOKUP($I38,◆入力◆⑤「4個同時放水」計算!$AL$69:$AQ$69,◆入力◆⑤「4個同時放水」計算!$AL$73:$AQ$73),IF($U37="",0,0)))))))</f>
        <v>0</v>
      </c>
      <c r="AF37" s="86">
        <f>IF($U37="仕切弁",LOOKUP($I38,◆入力◆⑤「4個同時放水」計算!$AL$26:$AX$26,◆入力◆⑤「4個同時放水」計算!$AL$31:$AX$31),IF($U37="逆止弁",LOOKUP($I38,◆入力◆⑤「4個同時放水」計算!$AL$26:$AX$26,◆入力◆⑤「4個同時放水」計算!$AL$32:$AX$32),IF($U37="水道メーター",LOOKUP($I38,◆入力◆⑤「4個同時放水」計算!$AL$69:$AQ$69,◆入力◆⑤「4個同時放水」計算!$AL$70:$AQ$70),IF($U37="止水栓",LOOKUP($I38,◆入力◆⑤「4個同時放水」計算!$AL$69:$AQ$69,◆入力◆⑤「4個同時放水」計算!$AL$71:$AQ$71),IF($U37="分水栓",LOOKUP($I38,◆入力◆⑤「4個同時放水」計算!$AL$69:$AQ$69,◆入力◆⑤「4個同時放水」計算!$AL$72:$AQ$72),IF($U37="巻き出しフレキ",LOOKUP($I38,◆入力◆⑤「4個同時放水」計算!$AL$69:$AQ$69,◆入力◆⑤「4個同時放水」計算!$AL$73:$AQ$73),IF($U37="",0,0)))))))</f>
        <v>0</v>
      </c>
      <c r="AG37" s="86">
        <f>IF($U37="仕切弁",LOOKUP($I38,◆入力◆⑤「4個同時放水」計算!$AL$37:$AX$37,◆入力◆⑤「4個同時放水」計算!$AL$42:$AX$42),IF($U37="逆止弁",LOOKUP($I38,◆入力◆⑤「4個同時放水」計算!$AL$37:$AX$37,◆入力◆⑤「4個同時放水」計算!$AL$43:$AX$43),IF($U37="水道メーター",LOOKUP($I38,◆入力◆⑤「4個同時放水」計算!$AL$69:$AQ$69,◆入力◆⑤「4個同時放水」計算!$AL$70:$AQ$70),IF($U37="止水栓",LOOKUP($I38,◆入力◆⑤「4個同時放水」計算!$AL$69:$AQ$69,◆入力◆⑤「4個同時放水」計算!$AL$71:$AQ$71),IF($U37="分水栓",LOOKUP($I38,◆入力◆⑤「4個同時放水」計算!$AL$69:$AQ$69,◆入力◆⑤「4個同時放水」計算!$AL$72:$AQ$72),IF($U37="巻き出しフレキ",LOOKUP($I38,◆入力◆⑤「4個同時放水」計算!$AL$69:$AQ$69,◆入力◆⑤「4個同時放水」計算!$AL$73:$AQ$73),IF($U37="",0,0)))))))</f>
        <v>0</v>
      </c>
      <c r="AH37" s="86">
        <f>IF($U37="仕切弁",LOOKUP($I38,◆入力◆⑤「4個同時放水」計算!$AL$48:$AX$48,◆入力◆⑤「4個同時放水」計算!$AL$53:$AX$53),IF($U37="逆止弁",LOOKUP($I38,◆入力◆⑤「4個同時放水」計算!$AL$48:$AX$48,◆入力◆⑤「4個同時放水」計算!$AL$54:$AX$54),IF($U37="水道メーター",LOOKUP($I38,◆入力◆⑤「4個同時放水」計算!$AL$69:$AQ$69,◆入力◆⑤「4個同時放水」計算!$AL$70:$AQ$70),IF($U37="止水栓",LOOKUP($I38,◆入力◆⑤「4個同時放水」計算!$AL$69:$AQ$69,◆入力◆⑤「4個同時放水」計算!$AL$71:$AQ$71),IF($U37="分水栓",LOOKUP($I38,◆入力◆⑤「4個同時放水」計算!$AL$69:$AQ$69,◆入力◆⑤「4個同時放水」計算!$AL$72:$AQ$72),IF($U37="巻き出しフレキ",LOOKUP($I38,◆入力◆⑤「4個同時放水」計算!$AL$69:$AQ$69,◆入力◆⑤「4個同時放水」計算!$AL$73:$AQ$73),IF($U37="",0,0)))))))</f>
        <v>0</v>
      </c>
      <c r="AI37" s="86">
        <f>IF($U37="仕切弁",LOOKUP($I38,◆入力◆⑤「4個同時放水」計算!$AL$59:$AX$59,◆入力◆⑤「4個同時放水」計算!$AL$64:$AX$64),IF($U37="逆止弁",LOOKUP($I38,◆入力◆⑤「4個同時放水」計算!$AL$59:$AX$59,◆入力◆⑤「4個同時放水」計算!$AL$65:$AX$65),IF($U37="水道メーター",LOOKUP($I38,◆入力◆⑤「4個同時放水」計算!$AL$69:$AQ$69,◆入力◆⑤「4個同時放水」計算!$AL$70:$AQ$70),IF($U37="止水栓",LOOKUP($I38,◆入力◆⑤「4個同時放水」計算!$AL$69:$AQ$69,◆入力◆⑤「4個同時放水」計算!$AL$71:$AQ$71),IF($U37="分水栓",LOOKUP($I38,◆入力◆⑤「4個同時放水」計算!$AL$69:$AQ$69,◆入力◆⑤「4個同時放水」計算!$AL$72:$AQ$72),IF($U37="巻き出しフレキ",LOOKUP($I38,◆入力◆⑤「4個同時放水」計算!$AL$69:$AQ$69,◆入力◆⑤「4個同時放水」計算!$AL$73:$AQ$73),IF($U37="",0,0)))))))</f>
        <v>0</v>
      </c>
      <c r="AJ37" s="115"/>
      <c r="AK37" s="57" t="s">
        <v>75</v>
      </c>
      <c r="AL37" s="58">
        <v>15</v>
      </c>
      <c r="AM37" s="58">
        <v>20</v>
      </c>
      <c r="AN37" s="58">
        <v>25</v>
      </c>
      <c r="AO37" s="58">
        <v>32</v>
      </c>
      <c r="AP37" s="58">
        <v>40</v>
      </c>
      <c r="AQ37" s="58">
        <v>50</v>
      </c>
      <c r="AR37" s="58">
        <v>65</v>
      </c>
      <c r="AS37" s="58">
        <v>80</v>
      </c>
      <c r="AT37" s="58">
        <v>100</v>
      </c>
      <c r="AU37" s="58">
        <v>125</v>
      </c>
      <c r="AV37" s="58">
        <v>150</v>
      </c>
      <c r="AW37" s="58">
        <v>200</v>
      </c>
      <c r="AX37" s="58">
        <v>250</v>
      </c>
      <c r="AY37" s="40"/>
      <c r="AZ37" s="40"/>
      <c r="BA37" s="40"/>
      <c r="BB37" s="180"/>
      <c r="BC37" s="40"/>
      <c r="BD37" s="40"/>
      <c r="BE37" s="40"/>
      <c r="BF37" s="40"/>
      <c r="BG37" s="40"/>
      <c r="BK37" s="40"/>
      <c r="BL37" s="40"/>
      <c r="BM37" s="40"/>
      <c r="BN37" s="40"/>
      <c r="BO37" s="40"/>
      <c r="BP37" s="40"/>
      <c r="BQ37" s="40"/>
      <c r="BR37" s="40"/>
      <c r="BS37" s="40"/>
      <c r="BT37" s="40"/>
    </row>
    <row r="38" spans="6:72" x14ac:dyDescent="0.15">
      <c r="F38" s="235"/>
      <c r="G38" s="40"/>
      <c r="H38" s="186">
        <f>IF(H37=10,"⑩－⑪",IF(H37=9,"⑨－⑩",0))</f>
        <v>0</v>
      </c>
      <c r="I38" s="170"/>
      <c r="J38" s="40"/>
      <c r="K38" s="171" t="str">
        <f>IF(I38="","",K35)</f>
        <v/>
      </c>
      <c r="L38" s="74">
        <f>IF(I38="",0,IF(I38&gt;=65,K38^1.85*0.012/I39^4.87,ROUNDUP((0.0126+(0.01739-(0.1087*I39/100))/SQRT(4*K38/(60000*PI()*(I39/100)^2)))*(1/(I39/100))*((4*K38/(60000*PI()*(I39/100)^2))^2/(2*9.8)),4)))</f>
        <v>0</v>
      </c>
      <c r="M38" s="172"/>
      <c r="N38" s="84">
        <f>ROUNDUP(L38*M38,2)</f>
        <v>0</v>
      </c>
      <c r="O38" s="87" t="str">
        <f>IF(I38="","","Ｔ直")</f>
        <v/>
      </c>
      <c r="P38" s="174"/>
      <c r="Q38" s="88">
        <f>IF(I38=0,0,IF(I37="SGP-VB",LOOKUP(I38,◆入力◆⑤「4個同時放水」計算!$AL$4:$AX$4,◆入力◆⑤「4個同時放水」計算!$AL$7:$AX$7),IF(I37="SGP-PB",LOOKUP(I38,◆入力◆⑤「4個同時放水」計算!$AL$15:$AX$15,◆入力◆⑤「4個同時放水」計算!$AL$18:$AX$18),IF(I37="HIVP",LOOKUP(I38,◆入力◆⑤「4個同時放水」計算!$AL$26:$AX$26,◆入力◆⑤「4個同時放水」計算!$AL$29:$AX$29),IF(OR(I37="SGP",I37="フレキ"),LOOKUP(I38,◆入力◆⑤「4個同時放水」計算!$AL$37:$AX$37,◆入力◆⑤「4個同時放水」計算!$AL$40:$AX$40),IF(I37="SUS",LOOKUP(I38,◆入力◆⑤「4個同時放水」計算!$AL$48:$AX$48,◆入力◆⑤「4個同時放水」計算!$AL$51:$AX$51),IF(OR(I37="PE",I37="PP"),LOOKUP(I38,◆入力◆⑤「4個同時放水」計算!$AL$59:$AX$59,◆入力◆⑤「4個同時放水」計算!$AL$62:$AX$62))))))))</f>
        <v>0</v>
      </c>
      <c r="R38" s="82">
        <f t="shared" si="0"/>
        <v>0</v>
      </c>
      <c r="S38" s="83">
        <f>R37+R38+R39</f>
        <v>0</v>
      </c>
      <c r="T38" s="84">
        <f>ROUNDUP(L38*S38,2)</f>
        <v>0</v>
      </c>
      <c r="U38" s="177"/>
      <c r="V38" s="174"/>
      <c r="W38" s="82">
        <f>IF($U38="Yスト",AC38,IF($I37="sgp-vb",AD38,IF($I37="sgp-pb",AE38,IF($I37="hivp",AF38,IF(OR($I37="sgp",$I37="フレキ"),AG38,IF($I37="sus",AH38,IF(OR($I37="PE",$I37="PP"),AI38,0)))))))</f>
        <v>0</v>
      </c>
      <c r="X38" s="82">
        <f t="shared" si="1"/>
        <v>0</v>
      </c>
      <c r="Y38" s="83">
        <f>SUM(X37:X39)</f>
        <v>0</v>
      </c>
      <c r="Z38" s="84">
        <f t="shared" ref="Z38" si="27">IF(AND($U38="電動弁",$V38=1),LOOKUP($K38,$AL$76:$BQ$76,$AL$77:$BQ$77),IF(AND($U38="逆流防止装置E",$V38=1),LOOKUP($I38,$AN$105:$AQ$105,$AN133:$AQ133),IF(AND($U38="逆流防止装置K",$V38=1),LOOKUP($I38,$AN$105:$AQ$105,$AN134:$AQ134),IF(AND($U38="逆流防止装置T",$V38=1),LOOKUP($I38,$AN$105:$AQ$105,$AN135:$AQ135),0))))</f>
        <v>0</v>
      </c>
      <c r="AA38" s="40"/>
      <c r="AB38" s="84">
        <f>N38+T38+Z37+Z38+Z39</f>
        <v>0</v>
      </c>
      <c r="AC38" s="89">
        <f>IF(U38="Yスト",IF(I37="SGP-VB",LOOKUP(I38,◆入力◆⑤「4個同時放水」計算!$AL$4:$AX$4,◆入力◆⑤「4個同時放水」計算!$AL$11:$AX$11),IF(I37="SGP-PB",LOOKUP(I38,◆入力◆⑤「4個同時放水」計算!$AL$15:$AX$15,◆入力◆⑤「4個同時放水」計算!$AL$22:$AX$22),IF(I37="HIVP",LOOKUP(I38,◆入力◆⑤「4個同時放水」計算!$AL$26:$AX$26,◆入力◆⑤「4個同時放水」計算!$AL$33:$AX$33),IF(OR(I37="SGP",I37="フレキ"),LOOKUP(I38,◆入力◆⑤「4個同時放水」計算!$AL$37:$AX$37,◆入力◆⑤「4個同時放水」計算!$AL$44:$AX$44),IF(I37="SUS",LOOKUP(I38,◆入力◆⑤「4個同時放水」計算!$AL$48:$AX$48,◆入力◆⑤「4個同時放水」計算!$AL$55:$AX$55),IF(OR(I37="PE",I37="PP"),LOOKUP(I38,◆入力◆⑤「4個同時放水」計算!$AL$59:$AX$59,◆入力◆⑤「4個同時放水」計算!$AL$66:$AX$66))))))),0)</f>
        <v>0</v>
      </c>
      <c r="AD38" s="90">
        <f>IF($U38="仕切弁",LOOKUP($I38,◆入力◆⑤「4個同時放水」計算!$AL$4:$AX$4,◆入力◆⑤「4個同時放水」計算!$AL$9:$AX$9),IF($U38="逆止弁",LOOKUP($I38,◆入力◆⑤「4個同時放水」計算!$AL$4:$AX$4,◆入力◆⑤「4個同時放水」計算!$AL$10:$AX$10),IF($U38="水道メーター",LOOKUP($I38,◆入力◆⑤「4個同時放水」計算!$AL$69:$AQ$69,◆入力◆⑤「4個同時放水」計算!$AL$70:$AQ$70),IF($U38="止水栓",LOOKUP($I38,◆入力◆⑤「4個同時放水」計算!$AL$69:$AQ$69,◆入力◆⑤「4個同時放水」計算!$AL$71:$AQ$71),IF($U38="分水栓",LOOKUP($I38,◆入力◆⑤「4個同時放水」計算!$AL$69:$AQ$69,◆入力◆⑤「4個同時放水」計算!$AL$72:$AQ$72),IF($U38="巻き出しフレキ",LOOKUP($I38,◆入力◆⑤「4個同時放水」計算!$AL$69:$AQ$69,◆入力◆⑤「4個同時放水」計算!$AL$73:$AQ$73),IF($U38="",0,0)))))))</f>
        <v>0</v>
      </c>
      <c r="AE38" s="90">
        <f>IF($U38="仕切弁",LOOKUP($I38,◆入力◆⑤「4個同時放水」計算!$AL$15:$AX$15,◆入力◆⑤「4個同時放水」計算!$AL$20:$AX$20),IF($U38="逆止弁",LOOKUP($I38,◆入力◆⑤「4個同時放水」計算!$AL$15:$AX$15,◆入力◆⑤「4個同時放水」計算!$AL$21:$AX$21),IF($U38="水道メーター",LOOKUP($I38,◆入力◆⑤「4個同時放水」計算!$AL$69:$AQ$69,◆入力◆⑤「4個同時放水」計算!$AL$70:$AQ$70),IF($U38="止水栓",LOOKUP($I38,◆入力◆⑤「4個同時放水」計算!$AL$69:$AQ$69,◆入力◆⑤「4個同時放水」計算!$AL$71:$AQ$71),IF($U38="分水栓",LOOKUP($I38,◆入力◆⑤「4個同時放水」計算!$AL$69:$AQ$69,◆入力◆⑤「4個同時放水」計算!$AL$72:$AQ$72),IF($U38="巻き出しフレキ",LOOKUP($I38,◆入力◆⑤「4個同時放水」計算!$AL$69:$AQ$69,◆入力◆⑤「4個同時放水」計算!$AL$73:$AQ$73),IF($U38="",0,0)))))))</f>
        <v>0</v>
      </c>
      <c r="AF38" s="90">
        <f>IF($U38="仕切弁",LOOKUP($I38,◆入力◆⑤「4個同時放水」計算!$AL$26:$AX$26,◆入力◆⑤「4個同時放水」計算!$AL$31:$AX$31),IF($U38="逆止弁",LOOKUP($I38,◆入力◆⑤「4個同時放水」計算!$AL$26:$AX$26,◆入力◆⑤「4個同時放水」計算!$AL$32:$AX$32),IF($U38="水道メーター",LOOKUP($I38,◆入力◆⑤「4個同時放水」計算!$AL$69:$AQ$69,◆入力◆⑤「4個同時放水」計算!$AL$70:$AQ$70),IF($U38="止水栓",LOOKUP($I38,◆入力◆⑤「4個同時放水」計算!$AL$69:$AQ$69,◆入力◆⑤「4個同時放水」計算!$AL$71:$AQ$71),IF($U38="分水栓",LOOKUP($I38,◆入力◆⑤「4個同時放水」計算!$AL$69:$AQ$69,◆入力◆⑤「4個同時放水」計算!$AL$72:$AQ$72),IF($U38="巻き出しフレキ",LOOKUP($I38,◆入力◆⑤「4個同時放水」計算!$AL$69:$AQ$69,◆入力◆⑤「4個同時放水」計算!$AL$73:$AQ$73),IF($U38="",0,0)))))))</f>
        <v>0</v>
      </c>
      <c r="AG38" s="90">
        <f>IF($U38="仕切弁",LOOKUP($I38,◆入力◆⑤「4個同時放水」計算!$AL$37:$AX$37,◆入力◆⑤「4個同時放水」計算!$AL$42:$AX$42),IF($U38="逆止弁",LOOKUP($I38,◆入力◆⑤「4個同時放水」計算!$AL$37:$AX$37,◆入力◆⑤「4個同時放水」計算!$AL$43:$AX$43),IF($U38="水道メーター",LOOKUP($I38,◆入力◆⑤「4個同時放水」計算!$AL$69:$AQ$69,◆入力◆⑤「4個同時放水」計算!$AL$70:$AQ$70),IF($U38="止水栓",LOOKUP($I38,◆入力◆⑤「4個同時放水」計算!$AL$69:$AQ$69,◆入力◆⑤「4個同時放水」計算!$AL$71:$AQ$71),IF($U38="分水栓",LOOKUP($I38,◆入力◆⑤「4個同時放水」計算!$AL$69:$AQ$69,◆入力◆⑤「4個同時放水」計算!$AL$72:$AQ$72),IF($U38="巻き出しフレキ",LOOKUP($I38,◆入力◆⑤「4個同時放水」計算!$AL$69:$AQ$69,◆入力◆⑤「4個同時放水」計算!$AL$73:$AQ$73),IF($U38="",0,0)))))))</f>
        <v>0</v>
      </c>
      <c r="AH38" s="90">
        <f>IF($U38="仕切弁",LOOKUP($I38,◆入力◆⑤「4個同時放水」計算!$AL$48:$AX$48,◆入力◆⑤「4個同時放水」計算!$AL$53:$AX$53),IF($U38="逆止弁",LOOKUP($I38,◆入力◆⑤「4個同時放水」計算!$AL$48:$AX$48,◆入力◆⑤「4個同時放水」計算!$AL$54:$AX$54),IF($U38="水道メーター",LOOKUP($I38,◆入力◆⑤「4個同時放水」計算!$AL$69:$AQ$69,◆入力◆⑤「4個同時放水」計算!$AL$70:$AQ$70),IF($U38="止水栓",LOOKUP($I38,◆入力◆⑤「4個同時放水」計算!$AL$69:$AQ$69,◆入力◆⑤「4個同時放水」計算!$AL$71:$AQ$71),IF($U38="分水栓",LOOKUP($I38,◆入力◆⑤「4個同時放水」計算!$AL$69:$AQ$69,◆入力◆⑤「4個同時放水」計算!$AL$72:$AQ$72),IF($U38="巻き出しフレキ",LOOKUP($I38,◆入力◆⑤「4個同時放水」計算!$AL$69:$AQ$69,◆入力◆⑤「4個同時放水」計算!$AL$73:$AQ$73),IF($U38="",0,0)))))))</f>
        <v>0</v>
      </c>
      <c r="AI38" s="90">
        <f>IF($U38="仕切弁",LOOKUP($I38,◆入力◆⑤「4個同時放水」計算!$AL$59:$AX$59,◆入力◆⑤「4個同時放水」計算!$AL$64:$AX$64),IF($U38="逆止弁",LOOKUP($I38,◆入力◆⑤「4個同時放水」計算!$AL$59:$AX$59,◆入力◆⑤「4個同時放水」計算!$AL$65:$AX$65),IF($U38="水道メーター",LOOKUP($I38,◆入力◆⑤「4個同時放水」計算!$AL$69:$AQ$69,◆入力◆⑤「4個同時放水」計算!$AL$70:$AQ$70),IF($U38="止水栓",LOOKUP($I38,◆入力◆⑤「4個同時放水」計算!$AL$69:$AQ$69,◆入力◆⑤「4個同時放水」計算!$AL$71:$AQ$71),IF($U38="分水栓",LOOKUP($I38,◆入力◆⑤「4個同時放水」計算!$AL$69:$AQ$69,◆入力◆⑤「4個同時放水」計算!$AL$72:$AQ$72),IF($U38="巻き出しフレキ",LOOKUP($I38,◆入力◆⑤「4個同時放水」計算!$AL$69:$AQ$69,◆入力◆⑤「4個同時放水」計算!$AL$73:$AQ$73),IF($U38="",0,0)))))))</f>
        <v>0</v>
      </c>
      <c r="AJ38" s="115"/>
      <c r="AK38" s="57" t="s">
        <v>76</v>
      </c>
      <c r="AL38" s="63">
        <v>1.61</v>
      </c>
      <c r="AM38" s="63">
        <v>2.16</v>
      </c>
      <c r="AN38" s="63">
        <v>2.76</v>
      </c>
      <c r="AO38" s="63">
        <v>3.57</v>
      </c>
      <c r="AP38" s="63">
        <v>4.16</v>
      </c>
      <c r="AQ38" s="63">
        <v>5.29</v>
      </c>
      <c r="AR38" s="63">
        <v>6.79</v>
      </c>
      <c r="AS38" s="63">
        <v>8.07</v>
      </c>
      <c r="AT38" s="63">
        <v>10.53</v>
      </c>
      <c r="AU38" s="63">
        <v>13.08</v>
      </c>
      <c r="AV38" s="63">
        <v>15.52</v>
      </c>
      <c r="AW38" s="63">
        <v>20.47</v>
      </c>
      <c r="AX38" s="63">
        <v>25.42</v>
      </c>
      <c r="AY38" s="40"/>
      <c r="AZ38" s="40"/>
      <c r="BA38" s="40"/>
      <c r="BB38" s="180"/>
      <c r="BC38" s="40"/>
      <c r="BD38" s="40"/>
      <c r="BE38" s="40"/>
      <c r="BF38" s="40"/>
      <c r="BG38" s="40"/>
      <c r="BK38" s="40"/>
      <c r="BL38" s="40"/>
      <c r="BM38" s="40"/>
      <c r="BN38" s="40"/>
      <c r="BO38" s="40"/>
      <c r="BP38" s="40"/>
      <c r="BQ38" s="40"/>
      <c r="BR38" s="40"/>
      <c r="BS38" s="40"/>
      <c r="BT38" s="40"/>
    </row>
    <row r="39" spans="6:72" x14ac:dyDescent="0.15">
      <c r="F39" s="235"/>
      <c r="G39" s="40"/>
      <c r="H39" s="149"/>
      <c r="I39" s="91">
        <f>IF(I38="",0,IF(I37="SGP-VB",LOOKUP(I38,◆入力◆⑤「4個同時放水」計算!$AL$4:$AX$4,◆入力◆⑤「4個同時放水」計算!$AL$5:$AX$5),IF(I37="SGP-PB",LOOKUP(I38,◆入力◆⑤「4個同時放水」計算!$AL$15:$AX$15,◆入力◆⑤「4個同時放水」計算!$AL$16:$AX$16),IF(I37="HIVP",LOOKUP(I38,◆入力◆⑤「4個同時放水」計算!$AL$26:$AX$26,◆入力◆⑤「4個同時放水」計算!$AL$27:$AX$27),IF(OR(I37="SGP",I37="フレキ"),LOOKUP(I38,◆入力◆⑤「4個同時放水」計算!$AL$37:$AX$37,◆入力◆⑤「4個同時放水」計算!$AL$38:$AX$38),IF(I37="SUS",LOOKUP(I38,◆入力◆⑤「4個同時放水」計算!$AL$48:$AX$48,◆入力◆⑤「4個同時放水」計算!$AL$49:$AX$49),IF(OR(I37="PE",I37="PP"),LOOKUP(I38,◆入力◆⑤「4個同時放水」計算!$AL$59:$AX$59,◆入力◆⑤「4個同時放水」計算!$AL$60:$AX$60))))))))</f>
        <v>0</v>
      </c>
      <c r="J39" s="40"/>
      <c r="K39" s="97"/>
      <c r="L39" s="98"/>
      <c r="M39" s="99"/>
      <c r="N39" s="93"/>
      <c r="O39" s="87" t="str">
        <f>IF(I38="","","Ｔ分")</f>
        <v/>
      </c>
      <c r="P39" s="175"/>
      <c r="Q39" s="88">
        <f>IF(I38=0,0,IF(I37="SGP-VB",LOOKUP(I38,◆入力◆⑤「4個同時放水」計算!$AL$4:$AX$4,◆入力◆⑤「4個同時放水」計算!$AL$8:$AX$8),IF(I37="SGP-PB",LOOKUP(I38,◆入力◆⑤「4個同時放水」計算!$AL$15:$AX$15,◆入力◆⑤「4個同時放水」計算!$AL$19:$AX$19),IF(I37="HIVP",LOOKUP(I38,◆入力◆⑤「4個同時放水」計算!$AL$26:$AX$26,◆入力◆⑤「4個同時放水」計算!$AL$30:$AX$30),IF(OR(I37="SGP",I37="フレキ"),LOOKUP(I38,◆入力◆⑤「4個同時放水」計算!$AL$37:$AX$37,◆入力◆⑤「4個同時放水」計算!$AL$41:$AX$41),IF(I37="SUS",LOOKUP(I38,◆入力◆⑤「4個同時放水」計算!$AL$48:$AX$48,◆入力◆⑤「4個同時放水」計算!$AL$52:$AX$52),IF(OR(I37="PE",I37="PP"),LOOKUP(I38,◆入力◆⑤「4個同時放水」計算!$AL$59:$AX$59,◆入力◆⑤「4個同時放水」計算!$AL$63:$AX$63))))))))</f>
        <v>0</v>
      </c>
      <c r="R39" s="100">
        <f t="shared" si="0"/>
        <v>0</v>
      </c>
      <c r="S39" s="101"/>
      <c r="T39" s="92"/>
      <c r="U39" s="178"/>
      <c r="V39" s="175"/>
      <c r="W39" s="100">
        <f>IF($U39="Yスト",AC39,IF($I37="sgp-vb",AD39,IF($I37="sgp-pb",AE39,IF($I37="hivp",AF39,IF(OR($I37="sgp",$I37="フレキ"),AG39,IF($I37="sus",AH39,IF(OR($I37="PE",$I37="PP"),AI39,0)))))))</f>
        <v>0</v>
      </c>
      <c r="X39" s="100">
        <f t="shared" si="1"/>
        <v>0</v>
      </c>
      <c r="Y39" s="101"/>
      <c r="Z39" s="92">
        <f t="shared" ref="Z39" si="28">ROUNDUP(L38*Y38,2)</f>
        <v>0</v>
      </c>
      <c r="AA39" s="40"/>
      <c r="AB39" s="76"/>
      <c r="AC39" s="90">
        <f>IF(U39="Yスト",IF(I37="SGP-VB",LOOKUP(I38,◆入力◆⑤「4個同時放水」計算!$AL$4:$AX$4,◆入力◆⑤「4個同時放水」計算!$AL$11:$AX$11),IF(I37="SGP-PB",LOOKUP(I38,◆入力◆⑤「4個同時放水」計算!$AL$15:$AX$15,◆入力◆⑤「4個同時放水」計算!$AL$22:$AX$22),IF(I37="HIVP",LOOKUP(I38,◆入力◆⑤「4個同時放水」計算!$AL$26:$AX$26,◆入力◆⑤「4個同時放水」計算!$AL$33:$AX$33),IF(OR(I37="SGP",I37="フレキ"),LOOKUP(I38,◆入力◆⑤「4個同時放水」計算!$AL$37:$AX$37,◆入力◆⑤「4個同時放水」計算!$AL$44:$AX$44),IF(I37="SUS",LOOKUP(I38,◆入力◆⑤「4個同時放水」計算!$AL$48:$AX$48,◆入力◆⑤「4個同時放水」計算!$AL$55:$AX$55),IF(OR(I37="PE",I37="PP"),LOOKUP(I38,◆入力◆⑤「4個同時放水」計算!$AL$59:$AX$59,◆入力◆⑤「4個同時放水」計算!$AL$66:$AX$66))))))),0)</f>
        <v>0</v>
      </c>
      <c r="AD39" s="90">
        <f>IF($U39="仕切弁",LOOKUP($I38,◆入力◆⑤「4個同時放水」計算!$AL$4:$AX$4,◆入力◆⑤「4個同時放水」計算!$AL$9:$AX$9),IF($U39="逆止弁",LOOKUP($I38,◆入力◆⑤「4個同時放水」計算!$AL$4:$AX$4,◆入力◆⑤「4個同時放水」計算!$AL$10:$AX$10),IF($U39="水道メーター",LOOKUP($I38,◆入力◆⑤「4個同時放水」計算!$AL$69:$AQ$69,◆入力◆⑤「4個同時放水」計算!$AL$70:$AQ$70),IF($U39="止水栓",LOOKUP($I38,◆入力◆⑤「4個同時放水」計算!$AL$69:$AQ$69,◆入力◆⑤「4個同時放水」計算!$AL$71:$AQ$71),IF($U39="分水栓",LOOKUP($I38,◆入力◆⑤「4個同時放水」計算!$AL$69:$AQ$69,◆入力◆⑤「4個同時放水」計算!$AL$72:$AQ$72),IF($U39="巻き出しフレキ",LOOKUP($I38,◆入力◆⑤「4個同時放水」計算!$AL$69:$AQ$69,◆入力◆⑤「4個同時放水」計算!$AL$73:$AQ$73),IF($U39="",0,0)))))))</f>
        <v>0</v>
      </c>
      <c r="AE39" s="90">
        <f>IF($U39="仕切弁",LOOKUP($I38,◆入力◆⑤「4個同時放水」計算!$AL$15:$AX$15,◆入力◆⑤「4個同時放水」計算!$AL$20:$AX$20),IF($U39="逆止弁",LOOKUP($I38,◆入力◆⑤「4個同時放水」計算!$AL$15:$AX$15,◆入力◆⑤「4個同時放水」計算!$AL$21:$AX$21),IF($U39="水道メーター",LOOKUP($I38,◆入力◆⑤「4個同時放水」計算!$AL$69:$AQ$69,◆入力◆⑤「4個同時放水」計算!$AL$70:$AQ$70),IF($U39="止水栓",LOOKUP($I38,◆入力◆⑤「4個同時放水」計算!$AL$69:$AQ$69,◆入力◆⑤「4個同時放水」計算!$AL$71:$AQ$71),IF($U39="分水栓",LOOKUP($I38,◆入力◆⑤「4個同時放水」計算!$AL$69:$AQ$69,◆入力◆⑤「4個同時放水」計算!$AL$72:$AQ$72),IF($U39="巻き出しフレキ",LOOKUP($I38,◆入力◆⑤「4個同時放水」計算!$AL$69:$AQ$69,◆入力◆⑤「4個同時放水」計算!$AL$73:$AQ$73),IF($U39="",0,0)))))))</f>
        <v>0</v>
      </c>
      <c r="AF39" s="90">
        <f>IF($U39="仕切弁",LOOKUP($I38,◆入力◆⑤「4個同時放水」計算!$AL$26:$AX$26,◆入力◆⑤「4個同時放水」計算!$AL$31:$AX$31),IF($U39="逆止弁",LOOKUP($I38,◆入力◆⑤「4個同時放水」計算!$AL$26:$AX$26,◆入力◆⑤「4個同時放水」計算!$AL$32:$AX$32),IF($U39="水道メーター",LOOKUP($I38,◆入力◆⑤「4個同時放水」計算!$AL$69:$AQ$69,◆入力◆⑤「4個同時放水」計算!$AL$70:$AQ$70),IF($U39="止水栓",LOOKUP($I38,◆入力◆⑤「4個同時放水」計算!$AL$69:$AQ$69,◆入力◆⑤「4個同時放水」計算!$AL$71:$AQ$71),IF($U39="分水栓",LOOKUP($I38,◆入力◆⑤「4個同時放水」計算!$AL$69:$AQ$69,◆入力◆⑤「4個同時放水」計算!$AL$72:$AQ$72),IF($U39="巻き出しフレキ",LOOKUP($I38,◆入力◆⑤「4個同時放水」計算!$AL$69:$AQ$69,◆入力◆⑤「4個同時放水」計算!$AL$73:$AQ$73),IF($U39="",0,0)))))))</f>
        <v>0</v>
      </c>
      <c r="AG39" s="90">
        <f>IF($U39="仕切弁",LOOKUP($I38,◆入力◆⑤「4個同時放水」計算!$AL$37:$AX$37,◆入力◆⑤「4個同時放水」計算!$AL$42:$AX$42),IF($U39="逆止弁",LOOKUP($I38,◆入力◆⑤「4個同時放水」計算!$AL$37:$AX$37,◆入力◆⑤「4個同時放水」計算!$AL$43:$AX$43),IF($U39="水道メーター",LOOKUP($I38,◆入力◆⑤「4個同時放水」計算!$AL$69:$AQ$69,◆入力◆⑤「4個同時放水」計算!$AL$70:$AQ$70),IF($U39="止水栓",LOOKUP($I38,◆入力◆⑤「4個同時放水」計算!$AL$69:$AQ$69,◆入力◆⑤「4個同時放水」計算!$AL$71:$AQ$71),IF($U39="分水栓",LOOKUP($I38,◆入力◆⑤「4個同時放水」計算!$AL$69:$AQ$69,◆入力◆⑤「4個同時放水」計算!$AL$72:$AQ$72),IF($U39="巻き出しフレキ",LOOKUP($I38,◆入力◆⑤「4個同時放水」計算!$AL$69:$AQ$69,◆入力◆⑤「4個同時放水」計算!$AL$73:$AQ$73),IF($U39="",0,0)))))))</f>
        <v>0</v>
      </c>
      <c r="AH39" s="90">
        <f>IF($U39="仕切弁",LOOKUP($I38,◆入力◆⑤「4個同時放水」計算!$AL$48:$AX$48,◆入力◆⑤「4個同時放水」計算!$AL$53:$AX$53),IF($U39="逆止弁",LOOKUP($I38,◆入力◆⑤「4個同時放水」計算!$AL$48:$AX$48,◆入力◆⑤「4個同時放水」計算!$AL$54:$AX$54),IF($U39="水道メーター",LOOKUP($I38,◆入力◆⑤「4個同時放水」計算!$AL$69:$AQ$69,◆入力◆⑤「4個同時放水」計算!$AL$70:$AQ$70),IF($U39="止水栓",LOOKUP($I38,◆入力◆⑤「4個同時放水」計算!$AL$69:$AQ$69,◆入力◆⑤「4個同時放水」計算!$AL$71:$AQ$71),IF($U39="分水栓",LOOKUP($I38,◆入力◆⑤「4個同時放水」計算!$AL$69:$AQ$69,◆入力◆⑤「4個同時放水」計算!$AL$72:$AQ$72),IF($U39="巻き出しフレキ",LOOKUP($I38,◆入力◆⑤「4個同時放水」計算!$AL$69:$AQ$69,◆入力◆⑤「4個同時放水」計算!$AL$73:$AQ$73),IF($U39="",0,0)))))))</f>
        <v>0</v>
      </c>
      <c r="AI39" s="90">
        <f>IF($U39="仕切弁",LOOKUP($I38,◆入力◆⑤「4個同時放水」計算!$AL$59:$AX$59,◆入力◆⑤「4個同時放水」計算!$AL$64:$AX$64),IF($U39="逆止弁",LOOKUP($I38,◆入力◆⑤「4個同時放水」計算!$AL$59:$AX$59,◆入力◆⑤「4個同時放水」計算!$AL$65:$AX$65),IF($U39="水道メーター",LOOKUP($I38,◆入力◆⑤「4個同時放水」計算!$AL$69:$AQ$69,◆入力◆⑤「4個同時放水」計算!$AL$70:$AQ$70),IF($U39="止水栓",LOOKUP($I38,◆入力◆⑤「4個同時放水」計算!$AL$69:$AQ$69,◆入力◆⑤「4個同時放水」計算!$AL$71:$AQ$71),IF($U39="分水栓",LOOKUP($I38,◆入力◆⑤「4個同時放水」計算!$AL$69:$AQ$69,◆入力◆⑤「4個同時放水」計算!$AL$72:$AQ$72),IF($U39="巻き出しフレキ",LOOKUP($I38,◆入力◆⑤「4個同時放水」計算!$AL$69:$AQ$69,◆入力◆⑤「4個同時放水」計算!$AL$73:$AQ$73),IF($U39="",0,0)))))))</f>
        <v>0</v>
      </c>
      <c r="AJ39" s="115"/>
      <c r="AK39" s="57" t="s">
        <v>4</v>
      </c>
      <c r="AL39" s="63">
        <v>0.6</v>
      </c>
      <c r="AM39" s="63">
        <v>0.75</v>
      </c>
      <c r="AN39" s="63">
        <v>0.9</v>
      </c>
      <c r="AO39" s="63">
        <v>1.2</v>
      </c>
      <c r="AP39" s="63">
        <v>1.5</v>
      </c>
      <c r="AQ39" s="63">
        <v>2.1</v>
      </c>
      <c r="AR39" s="63">
        <v>2.4</v>
      </c>
      <c r="AS39" s="63">
        <v>3</v>
      </c>
      <c r="AT39" s="63">
        <v>4.2</v>
      </c>
      <c r="AU39" s="63">
        <v>5.0999999999999996</v>
      </c>
      <c r="AV39" s="63">
        <v>6</v>
      </c>
      <c r="AW39" s="63">
        <v>6.5</v>
      </c>
      <c r="AX39" s="63">
        <v>8</v>
      </c>
      <c r="AY39" s="40"/>
      <c r="AZ39" s="40"/>
      <c r="BA39" s="40"/>
      <c r="BB39" s="180"/>
      <c r="BC39" s="40"/>
      <c r="BD39" s="40"/>
      <c r="BE39" s="40"/>
      <c r="BF39" s="40"/>
      <c r="BG39" s="40"/>
      <c r="BK39" s="40"/>
      <c r="BL39" s="40"/>
      <c r="BM39" s="40"/>
      <c r="BN39" s="40"/>
      <c r="BO39" s="40"/>
      <c r="BP39" s="40"/>
      <c r="BQ39" s="40"/>
      <c r="BR39" s="40"/>
      <c r="BS39" s="40"/>
      <c r="BT39" s="40"/>
    </row>
    <row r="40" spans="6:72" x14ac:dyDescent="0.15">
      <c r="F40" s="235" t="s">
        <v>31</v>
      </c>
      <c r="G40" s="40"/>
      <c r="H40" s="168"/>
      <c r="I40" s="189" t="str">
        <f>IF(H40="","",◆入力◆①配管容量!$M$3)</f>
        <v/>
      </c>
      <c r="J40" s="40"/>
      <c r="K40" s="73"/>
      <c r="L40" s="74"/>
      <c r="M40" s="75"/>
      <c r="N40" s="76"/>
      <c r="O40" s="77" t="str">
        <f>IF(I41="","","E９０°")</f>
        <v/>
      </c>
      <c r="P40" s="173"/>
      <c r="Q40" s="79">
        <f>IF(I41=0,0,IF(I40="SGP-VB",LOOKUP(I41,◆入力◆⑤「4個同時放水」計算!$AL$4:$AX$4,◆入力◆⑤「4個同時放水」計算!$AL$6:$AX$6),IF(I40="SGP-PB",LOOKUP(I41,◆入力◆⑤「4個同時放水」計算!$AL$15:$AX$15,◆入力◆⑤「4個同時放水」計算!$AL$17:$AX$17),IF(I40="HIVP",LOOKUP(I41,◆入力◆⑤「4個同時放水」計算!$AL$26:$AX$26,◆入力◆⑤「4個同時放水」計算!$AL$28:$AX$28),IF(OR(I40="SGP",I40="フレキ"),LOOKUP(I41,◆入力◆⑤「4個同時放水」計算!$AL$37:$AX$37,◆入力◆⑤「4個同時放水」計算!$AL$39:$AX$39),IF(I40="SUS",LOOKUP(I41,◆入力◆⑤「4個同時放水」計算!$AL$48:$AX$48,◆入力◆⑤「4個同時放水」計算!$AL$50:$AX$50),IF(OR(I40="PE",I40="PP"),LOOKUP(I41,◆入力◆⑤「4個同時放水」計算!$AL$59:$AX$59,◆入力◆⑤「4個同時放水」計算!$AL$61:$AX$61))))))))</f>
        <v>0</v>
      </c>
      <c r="R40" s="79">
        <f t="shared" si="0"/>
        <v>0</v>
      </c>
      <c r="S40" s="80"/>
      <c r="T40" s="81">
        <v>0</v>
      </c>
      <c r="U40" s="176"/>
      <c r="V40" s="174"/>
      <c r="W40" s="82">
        <f>IF($U40="Yスト",AC40,IF($I40="sgp-vb",AD40,IF($I40="sgp-pb",AE40,IF($I40="hivp",AF40,IF(OR($I40="sgp",$I40="フレキ"),AG40,IF($I40="sus",AH40,IF(OR($I40="PE",$I40="PP"),AI40,0)))))))</f>
        <v>0</v>
      </c>
      <c r="X40" s="82">
        <f t="shared" si="1"/>
        <v>0</v>
      </c>
      <c r="Y40" s="83"/>
      <c r="Z40" s="84">
        <f t="shared" ref="Z40" si="29">IF(AND($U40="電動弁",$V40=1),LOOKUP($K41,$AL$76:$BQ$76,$AL$77:$BQ$77),IF(AND($U40="逆流防止装置E",$V40=1),LOOKUP($I41,$AN$105:$AQ$105,$AN136:$AQ136),IF(AND($U40="逆流防止装置K",$V40=1),LOOKUP($I41,$AN$105:$AQ$105,$AN137:$AQ137),IF(AND($U40="逆流防止装置T",$V40=1),LOOKUP($I41,$AN$105:$AQ$105,$AN138:$AQ138),0))))</f>
        <v>0</v>
      </c>
      <c r="AA40" s="40"/>
      <c r="AB40" s="85"/>
      <c r="AC40" s="86">
        <f>IF(U40="Yスト",IF(I40="SGP-VB",LOOKUP(I41,◆入力◆⑤「4個同時放水」計算!$AL$4:$AX$4,◆入力◆⑤「4個同時放水」計算!$AL$11:$AX$11),IF(I40="SGP-PB",LOOKUP(I41,◆入力◆⑤「4個同時放水」計算!$AL$15:$AX$15,◆入力◆⑤「4個同時放水」計算!$AL$22:$AX$22),IF(I40="HIVP",LOOKUP(I41,◆入力◆⑤「4個同時放水」計算!$AL$26:$AX$26,◆入力◆⑤「4個同時放水」計算!$AL$33:$AX$33),IF(OR(I40="SGP",I40="フレキ"),LOOKUP(I41,◆入力◆⑤「4個同時放水」計算!$AL$37:$AX$37,◆入力◆⑤「4個同時放水」計算!$AL$44:$AX$44),IF(I40="SUS",LOOKUP(I41,◆入力◆⑤「4個同時放水」計算!$AL$48:$AX$48,◆入力◆⑤「4個同時放水」計算!$AL$55:$AX$55),IF(OR(I40="PE",I40="PP"),LOOKUP(I41,◆入力◆⑤「4個同時放水」計算!$AL$59:$AX$59,◆入力◆⑤「4個同時放水」計算!$AL$66:$AX$66))))))),0)</f>
        <v>0</v>
      </c>
      <c r="AD40" s="86">
        <f>IF($U40="仕切弁",LOOKUP($I41,◆入力◆⑤「4個同時放水」計算!$AL$4:$AX$4,◆入力◆⑤「4個同時放水」計算!$AL$9:$AX$9),IF($U40="逆止弁",LOOKUP($I41,◆入力◆⑤「4個同時放水」計算!$AL$4:$AX$4,◆入力◆⑤「4個同時放水」計算!$AL$10:$AX$10),IF($U40="水道メーター",LOOKUP($I41,◆入力◆⑤「4個同時放水」計算!$AL$69:$AQ$69,◆入力◆⑤「4個同時放水」計算!$AL$70:$AQ$70),IF($U40="止水栓",LOOKUP($I41,◆入力◆⑤「4個同時放水」計算!$AL$69:$AQ$69,◆入力◆⑤「4個同時放水」計算!$AL$71:$AQ$71),IF($U40="分水栓",LOOKUP($I41,◆入力◆⑤「4個同時放水」計算!$AL$69:$AQ$69,◆入力◆⑤「4個同時放水」計算!$AL$72:$AQ$72),IF($U40="巻き出しフレキ",LOOKUP($I41,◆入力◆⑤「4個同時放水」計算!$AL$69:$AQ$69,◆入力◆⑤「4個同時放水」計算!$AL$73:$AQ$73),IF($U40="",0,0)))))))</f>
        <v>0</v>
      </c>
      <c r="AE40" s="86">
        <f>IF($U40="仕切弁",LOOKUP($I41,◆入力◆⑤「4個同時放水」計算!$AL$15:$AX$15,◆入力◆⑤「4個同時放水」計算!$AL$20:$AX$20),IF($U40="逆止弁",LOOKUP($I41,◆入力◆⑤「4個同時放水」計算!$AL$15:$AX$15,◆入力◆⑤「4個同時放水」計算!$AL$21:$AX$21),IF($U40="水道メーター",LOOKUP($I41,◆入力◆⑤「4個同時放水」計算!$AL$69:$AQ$69,◆入力◆⑤「4個同時放水」計算!$AL$70:$AQ$70),IF($U40="止水栓",LOOKUP($I41,◆入力◆⑤「4個同時放水」計算!$AL$69:$AQ$69,◆入力◆⑤「4個同時放水」計算!$AL$71:$AQ$71),IF($U40="分水栓",LOOKUP($I41,◆入力◆⑤「4個同時放水」計算!$AL$69:$AQ$69,◆入力◆⑤「4個同時放水」計算!$AL$72:$AQ$72),IF($U40="巻き出しフレキ",LOOKUP($I41,◆入力◆⑤「4個同時放水」計算!$AL$69:$AQ$69,◆入力◆⑤「4個同時放水」計算!$AL$73:$AQ$73),IF($U40="",0,0)))))))</f>
        <v>0</v>
      </c>
      <c r="AF40" s="86">
        <f>IF($U40="仕切弁",LOOKUP($I41,◆入力◆⑤「4個同時放水」計算!$AL$26:$AX$26,◆入力◆⑤「4個同時放水」計算!$AL$31:$AX$31),IF($U40="逆止弁",LOOKUP($I41,◆入力◆⑤「4個同時放水」計算!$AL$26:$AX$26,◆入力◆⑤「4個同時放水」計算!$AL$32:$AX$32),IF($U40="水道メーター",LOOKUP($I41,◆入力◆⑤「4個同時放水」計算!$AL$69:$AQ$69,◆入力◆⑤「4個同時放水」計算!$AL$70:$AQ$70),IF($U40="止水栓",LOOKUP($I41,◆入力◆⑤「4個同時放水」計算!$AL$69:$AQ$69,◆入力◆⑤「4個同時放水」計算!$AL$71:$AQ$71),IF($U40="分水栓",LOOKUP($I41,◆入力◆⑤「4個同時放水」計算!$AL$69:$AQ$69,◆入力◆⑤「4個同時放水」計算!$AL$72:$AQ$72),IF($U40="巻き出しフレキ",LOOKUP($I41,◆入力◆⑤「4個同時放水」計算!$AL$69:$AQ$69,◆入力◆⑤「4個同時放水」計算!$AL$73:$AQ$73),IF($U40="",0,0)))))))</f>
        <v>0</v>
      </c>
      <c r="AG40" s="86">
        <f>IF($U40="仕切弁",LOOKUP($I41,◆入力◆⑤「4個同時放水」計算!$AL$37:$AX$37,◆入力◆⑤「4個同時放水」計算!$AL$42:$AX$42),IF($U40="逆止弁",LOOKUP($I41,◆入力◆⑤「4個同時放水」計算!$AL$37:$AX$37,◆入力◆⑤「4個同時放水」計算!$AL$43:$AX$43),IF($U40="水道メーター",LOOKUP($I41,◆入力◆⑤「4個同時放水」計算!$AL$69:$AQ$69,◆入力◆⑤「4個同時放水」計算!$AL$70:$AQ$70),IF($U40="止水栓",LOOKUP($I41,◆入力◆⑤「4個同時放水」計算!$AL$69:$AQ$69,◆入力◆⑤「4個同時放水」計算!$AL$71:$AQ$71),IF($U40="分水栓",LOOKUP($I41,◆入力◆⑤「4個同時放水」計算!$AL$69:$AQ$69,◆入力◆⑤「4個同時放水」計算!$AL$72:$AQ$72),IF($U40="巻き出しフレキ",LOOKUP($I41,◆入力◆⑤「4個同時放水」計算!$AL$69:$AQ$69,◆入力◆⑤「4個同時放水」計算!$AL$73:$AQ$73),IF($U40="",0,0)))))))</f>
        <v>0</v>
      </c>
      <c r="AH40" s="86">
        <f>IF($U40="仕切弁",LOOKUP($I41,◆入力◆⑤「4個同時放水」計算!$AL$48:$AX$48,◆入力◆⑤「4個同時放水」計算!$AL$53:$AX$53),IF($U40="逆止弁",LOOKUP($I41,◆入力◆⑤「4個同時放水」計算!$AL$48:$AX$48,◆入力◆⑤「4個同時放水」計算!$AL$54:$AX$54),IF($U40="水道メーター",LOOKUP($I41,◆入力◆⑤「4個同時放水」計算!$AL$69:$AQ$69,◆入力◆⑤「4個同時放水」計算!$AL$70:$AQ$70),IF($U40="止水栓",LOOKUP($I41,◆入力◆⑤「4個同時放水」計算!$AL$69:$AQ$69,◆入力◆⑤「4個同時放水」計算!$AL$71:$AQ$71),IF($U40="分水栓",LOOKUP($I41,◆入力◆⑤「4個同時放水」計算!$AL$69:$AQ$69,◆入力◆⑤「4個同時放水」計算!$AL$72:$AQ$72),IF($U40="巻き出しフレキ",LOOKUP($I41,◆入力◆⑤「4個同時放水」計算!$AL$69:$AQ$69,◆入力◆⑤「4個同時放水」計算!$AL$73:$AQ$73),IF($U40="",0,0)))))))</f>
        <v>0</v>
      </c>
      <c r="AI40" s="86">
        <f>IF($U40="仕切弁",LOOKUP($I41,◆入力◆⑤「4個同時放水」計算!$AL$59:$AX$59,◆入力◆⑤「4個同時放水」計算!$AL$64:$AX$64),IF($U40="逆止弁",LOOKUP($I41,◆入力◆⑤「4個同時放水」計算!$AL$59:$AX$59,◆入力◆⑤「4個同時放水」計算!$AL$65:$AX$65),IF($U40="水道メーター",LOOKUP($I41,◆入力◆⑤「4個同時放水」計算!$AL$69:$AQ$69,◆入力◆⑤「4個同時放水」計算!$AL$70:$AQ$70),IF($U40="止水栓",LOOKUP($I41,◆入力◆⑤「4個同時放水」計算!$AL$69:$AQ$69,◆入力◆⑤「4個同時放水」計算!$AL$71:$AQ$71),IF($U40="分水栓",LOOKUP($I41,◆入力◆⑤「4個同時放水」計算!$AL$69:$AQ$69,◆入力◆⑤「4個同時放水」計算!$AL$72:$AQ$72),IF($U40="巻き出しフレキ",LOOKUP($I41,◆入力◆⑤「4個同時放水」計算!$AL$69:$AQ$69,◆入力◆⑤「4個同時放水」計算!$AL$73:$AQ$73),IF($U40="",0,0)))))))</f>
        <v>0</v>
      </c>
      <c r="AJ40" s="115"/>
      <c r="AK40" s="57" t="s">
        <v>38</v>
      </c>
      <c r="AL40" s="63">
        <v>0.18</v>
      </c>
      <c r="AM40" s="63">
        <v>0.24</v>
      </c>
      <c r="AN40" s="63">
        <v>0.27</v>
      </c>
      <c r="AO40" s="63">
        <v>0.36</v>
      </c>
      <c r="AP40" s="63">
        <v>0.45</v>
      </c>
      <c r="AQ40" s="63">
        <v>0.6</v>
      </c>
      <c r="AR40" s="63">
        <v>0.75</v>
      </c>
      <c r="AS40" s="63">
        <v>0.9</v>
      </c>
      <c r="AT40" s="63">
        <v>1.2</v>
      </c>
      <c r="AU40" s="63">
        <v>1.5</v>
      </c>
      <c r="AV40" s="63">
        <v>1.8</v>
      </c>
      <c r="AW40" s="63">
        <v>4</v>
      </c>
      <c r="AX40" s="63">
        <v>5</v>
      </c>
      <c r="AY40" s="40"/>
      <c r="AZ40" s="40"/>
      <c r="BA40" s="40"/>
      <c r="BB40" s="180"/>
      <c r="BC40" s="40"/>
      <c r="BD40" s="40"/>
      <c r="BE40" s="40"/>
      <c r="BF40" s="40"/>
      <c r="BG40" s="40"/>
      <c r="BK40" s="40"/>
      <c r="BL40" s="40"/>
      <c r="BM40" s="40"/>
      <c r="BN40" s="40"/>
      <c r="BO40" s="40"/>
      <c r="BP40" s="40"/>
      <c r="BQ40" s="40"/>
      <c r="BR40" s="40"/>
      <c r="BS40" s="40"/>
      <c r="BT40" s="40"/>
    </row>
    <row r="41" spans="6:72" x14ac:dyDescent="0.15">
      <c r="F41" s="235"/>
      <c r="G41" s="40"/>
      <c r="H41" s="186">
        <f>IF(H40=11,"⑪－⑫",IF(H40=10,"⑩－⑪",0))</f>
        <v>0</v>
      </c>
      <c r="I41" s="170"/>
      <c r="J41" s="40"/>
      <c r="K41" s="171" t="str">
        <f>IF(I41="","",K38)</f>
        <v/>
      </c>
      <c r="L41" s="74">
        <f>IF(I41="",0,IF(I41&gt;=65,K41^1.85*0.012/I42^4.87,ROUNDUP((0.0126+(0.01739-(0.1087*I42/100))/SQRT(4*K41/(60000*PI()*(I42/100)^2)))*(1/(I42/100))*((4*K41/(60000*PI()*(I42/100)^2))^2/(2*9.8)),4)))</f>
        <v>0</v>
      </c>
      <c r="M41" s="172"/>
      <c r="N41" s="84">
        <f>ROUNDUP(L41*M41,2)</f>
        <v>0</v>
      </c>
      <c r="O41" s="87" t="str">
        <f>IF(I41="","","Ｔ直")</f>
        <v/>
      </c>
      <c r="P41" s="174"/>
      <c r="Q41" s="82">
        <f>IF(I41=0,0,IF(I40="SGP-VB",LOOKUP(I41,◆入力◆⑤「4個同時放水」計算!$AL$4:$AX$4,◆入力◆⑤「4個同時放水」計算!$AL$7:$AX$7),IF(I40="SGP-PB",LOOKUP(I41,◆入力◆⑤「4個同時放水」計算!$AL$15:$AX$15,◆入力◆⑤「4個同時放水」計算!$AL$18:$AX$18),IF(I40="HIVP",LOOKUP(I41,◆入力◆⑤「4個同時放水」計算!$AL$26:$AX$26,◆入力◆⑤「4個同時放水」計算!$AL$29:$AX$29),IF(OR(I40="SGP",I40="フレキ"),LOOKUP(I41,◆入力◆⑤「4個同時放水」計算!$AL$37:$AX$37,◆入力◆⑤「4個同時放水」計算!$AL$40:$AX$40),IF(I40="SUS",LOOKUP(I41,◆入力◆⑤「4個同時放水」計算!$AL$48:$AX$48,◆入力◆⑤「4個同時放水」計算!$AL$51:$AX$51),IF(OR(I40="PE",I40="PP"),LOOKUP(I41,◆入力◆⑤「4個同時放水」計算!$AL$59:$AX$59,◆入力◆⑤「4個同時放水」計算!$AL$62:$AX$62))))))))</f>
        <v>0</v>
      </c>
      <c r="R41" s="82">
        <f t="shared" si="0"/>
        <v>0</v>
      </c>
      <c r="S41" s="83">
        <f>R40+R41+R42</f>
        <v>0</v>
      </c>
      <c r="T41" s="84">
        <f>ROUNDUP(L41*S41,2)</f>
        <v>0</v>
      </c>
      <c r="U41" s="177"/>
      <c r="V41" s="174"/>
      <c r="W41" s="82">
        <f>IF($U41="Yスト",AC41,IF($I40="sgp-vb",AD41,IF($I40="sgp-pb",AE41,IF($I40="hivp",AF41,IF(OR($I40="sgp",$I40="フレキ"),AG41,IF($I40="sus",AH41,IF(OR($I40="PE",$I40="PP"),AI41,0)))))))</f>
        <v>0</v>
      </c>
      <c r="X41" s="82">
        <f t="shared" si="1"/>
        <v>0</v>
      </c>
      <c r="Y41" s="83">
        <f>SUM(X40:X42)</f>
        <v>0</v>
      </c>
      <c r="Z41" s="84">
        <f t="shared" ref="Z41" si="30">IF(AND($U41="電動弁",$V41=1),LOOKUP($K41,$AL$76:$BQ$76,$AL$77:$BQ$77),IF(AND($U41="逆流防止装置E",$V41=1),LOOKUP($I41,$AN$105:$AQ$105,$AN136:$AQ136),IF(AND($U41="逆流防止装置K",$V41=1),LOOKUP($I41,$AN$105:$AQ$105,$AN137:$AQ137),IF(AND($U41="逆流防止装置T",$V41=1),LOOKUP($I41,$AN$105:$AQ$105,$AN138:$AQ138),0))))</f>
        <v>0</v>
      </c>
      <c r="AA41" s="40"/>
      <c r="AB41" s="84">
        <f>N41+T41+Z40+Z41+Z42</f>
        <v>0</v>
      </c>
      <c r="AC41" s="89">
        <f>IF(U41="Yスト",IF(I40="SGP-VB",LOOKUP(I41,◆入力◆⑤「4個同時放水」計算!$AL$4:$AX$4,◆入力◆⑤「4個同時放水」計算!$AL$11:$AX$11),IF(I40="SGP-PB",LOOKUP(I41,◆入力◆⑤「4個同時放水」計算!$AL$15:$AX$15,◆入力◆⑤「4個同時放水」計算!$AL$22:$AX$22),IF(I40="HIVP",LOOKUP(I41,◆入力◆⑤「4個同時放水」計算!$AL$26:$AX$26,◆入力◆⑤「4個同時放水」計算!$AL$33:$AX$33),IF(OR(I40="SGP",I40="フレキ"),LOOKUP(I41,◆入力◆⑤「4個同時放水」計算!$AL$37:$AX$37,◆入力◆⑤「4個同時放水」計算!$AL$44:$AX$44),IF(I40="SUS",LOOKUP(I41,◆入力◆⑤「4個同時放水」計算!$AL$48:$AX$48,◆入力◆⑤「4個同時放水」計算!$AL$55:$AX$55),IF(OR(I40="PE",I40="PP"),LOOKUP(I41,◆入力◆⑤「4個同時放水」計算!$AL$59:$AX$59,◆入力◆⑤「4個同時放水」計算!$AL$66:$AX$66))))))),0)</f>
        <v>0</v>
      </c>
      <c r="AD41" s="90">
        <f>IF($U41="仕切弁",LOOKUP($I41,◆入力◆⑤「4個同時放水」計算!$AL$4:$AX$4,◆入力◆⑤「4個同時放水」計算!$AL$9:$AX$9),IF($U41="逆止弁",LOOKUP($I41,◆入力◆⑤「4個同時放水」計算!$AL$4:$AX$4,◆入力◆⑤「4個同時放水」計算!$AL$10:$AX$10),IF($U41="水道メーター",LOOKUP($I41,◆入力◆⑤「4個同時放水」計算!$AL$69:$AQ$69,◆入力◆⑤「4個同時放水」計算!$AL$70:$AQ$70),IF($U41="止水栓",LOOKUP($I41,◆入力◆⑤「4個同時放水」計算!$AL$69:$AQ$69,◆入力◆⑤「4個同時放水」計算!$AL$71:$AQ$71),IF($U41="分水栓",LOOKUP($I41,◆入力◆⑤「4個同時放水」計算!$AL$69:$AQ$69,◆入力◆⑤「4個同時放水」計算!$AL$72:$AQ$72),IF($U41="巻き出しフレキ",LOOKUP($I41,◆入力◆⑤「4個同時放水」計算!$AL$69:$AQ$69,◆入力◆⑤「4個同時放水」計算!$AL$73:$AQ$73),IF($U41="",0,0)))))))</f>
        <v>0</v>
      </c>
      <c r="AE41" s="90">
        <f>IF($U41="仕切弁",LOOKUP($I41,◆入力◆⑤「4個同時放水」計算!$AL$15:$AX$15,◆入力◆⑤「4個同時放水」計算!$AL$20:$AX$20),IF($U41="逆止弁",LOOKUP($I41,◆入力◆⑤「4個同時放水」計算!$AL$15:$AX$15,◆入力◆⑤「4個同時放水」計算!$AL$21:$AX$21),IF($U41="水道メーター",LOOKUP($I41,◆入力◆⑤「4個同時放水」計算!$AL$69:$AQ$69,◆入力◆⑤「4個同時放水」計算!$AL$70:$AQ$70),IF($U41="止水栓",LOOKUP($I41,◆入力◆⑤「4個同時放水」計算!$AL$69:$AQ$69,◆入力◆⑤「4個同時放水」計算!$AL$71:$AQ$71),IF($U41="分水栓",LOOKUP($I41,◆入力◆⑤「4個同時放水」計算!$AL$69:$AQ$69,◆入力◆⑤「4個同時放水」計算!$AL$72:$AQ$72),IF($U41="巻き出しフレキ",LOOKUP($I41,◆入力◆⑤「4個同時放水」計算!$AL$69:$AQ$69,◆入力◆⑤「4個同時放水」計算!$AL$73:$AQ$73),IF($U41="",0,0)))))))</f>
        <v>0</v>
      </c>
      <c r="AF41" s="90">
        <f>IF($U41="仕切弁",LOOKUP($I41,◆入力◆⑤「4個同時放水」計算!$AL$26:$AX$26,◆入力◆⑤「4個同時放水」計算!$AL$31:$AX$31),IF($U41="逆止弁",LOOKUP($I41,◆入力◆⑤「4個同時放水」計算!$AL$26:$AX$26,◆入力◆⑤「4個同時放水」計算!$AL$32:$AX$32),IF($U41="水道メーター",LOOKUP($I41,◆入力◆⑤「4個同時放水」計算!$AL$69:$AQ$69,◆入力◆⑤「4個同時放水」計算!$AL$70:$AQ$70),IF($U41="止水栓",LOOKUP($I41,◆入力◆⑤「4個同時放水」計算!$AL$69:$AQ$69,◆入力◆⑤「4個同時放水」計算!$AL$71:$AQ$71),IF($U41="分水栓",LOOKUP($I41,◆入力◆⑤「4個同時放水」計算!$AL$69:$AQ$69,◆入力◆⑤「4個同時放水」計算!$AL$72:$AQ$72),IF($U41="巻き出しフレキ",LOOKUP($I41,◆入力◆⑤「4個同時放水」計算!$AL$69:$AQ$69,◆入力◆⑤「4個同時放水」計算!$AL$73:$AQ$73),IF($U41="",0,0)))))))</f>
        <v>0</v>
      </c>
      <c r="AG41" s="90">
        <f>IF($U41="仕切弁",LOOKUP($I41,◆入力◆⑤「4個同時放水」計算!$AL$37:$AX$37,◆入力◆⑤「4個同時放水」計算!$AL$42:$AX$42),IF($U41="逆止弁",LOOKUP($I41,◆入力◆⑤「4個同時放水」計算!$AL$37:$AX$37,◆入力◆⑤「4個同時放水」計算!$AL$43:$AX$43),IF($U41="水道メーター",LOOKUP($I41,◆入力◆⑤「4個同時放水」計算!$AL$69:$AQ$69,◆入力◆⑤「4個同時放水」計算!$AL$70:$AQ$70),IF($U41="止水栓",LOOKUP($I41,◆入力◆⑤「4個同時放水」計算!$AL$69:$AQ$69,◆入力◆⑤「4個同時放水」計算!$AL$71:$AQ$71),IF($U41="分水栓",LOOKUP($I41,◆入力◆⑤「4個同時放水」計算!$AL$69:$AQ$69,◆入力◆⑤「4個同時放水」計算!$AL$72:$AQ$72),IF($U41="巻き出しフレキ",LOOKUP($I41,◆入力◆⑤「4個同時放水」計算!$AL$69:$AQ$69,◆入力◆⑤「4個同時放水」計算!$AL$73:$AQ$73),IF($U41="",0,0)))))))</f>
        <v>0</v>
      </c>
      <c r="AH41" s="90">
        <f>IF($U41="仕切弁",LOOKUP($I41,◆入力◆⑤「4個同時放水」計算!$AL$48:$AX$48,◆入力◆⑤「4個同時放水」計算!$AL$53:$AX$53),IF($U41="逆止弁",LOOKUP($I41,◆入力◆⑤「4個同時放水」計算!$AL$48:$AX$48,◆入力◆⑤「4個同時放水」計算!$AL$54:$AX$54),IF($U41="水道メーター",LOOKUP($I41,◆入力◆⑤「4個同時放水」計算!$AL$69:$AQ$69,◆入力◆⑤「4個同時放水」計算!$AL$70:$AQ$70),IF($U41="止水栓",LOOKUP($I41,◆入力◆⑤「4個同時放水」計算!$AL$69:$AQ$69,◆入力◆⑤「4個同時放水」計算!$AL$71:$AQ$71),IF($U41="分水栓",LOOKUP($I41,◆入力◆⑤「4個同時放水」計算!$AL$69:$AQ$69,◆入力◆⑤「4個同時放水」計算!$AL$72:$AQ$72),IF($U41="巻き出しフレキ",LOOKUP($I41,◆入力◆⑤「4個同時放水」計算!$AL$69:$AQ$69,◆入力◆⑤「4個同時放水」計算!$AL$73:$AQ$73),IF($U41="",0,0)))))))</f>
        <v>0</v>
      </c>
      <c r="AI41" s="90">
        <f>IF($U41="仕切弁",LOOKUP($I41,◆入力◆⑤「4個同時放水」計算!$AL$59:$AX$59,◆入力◆⑤「4個同時放水」計算!$AL$64:$AX$64),IF($U41="逆止弁",LOOKUP($I41,◆入力◆⑤「4個同時放水」計算!$AL$59:$AX$59,◆入力◆⑤「4個同時放水」計算!$AL$65:$AX$65),IF($U41="水道メーター",LOOKUP($I41,◆入力◆⑤「4個同時放水」計算!$AL$69:$AQ$69,◆入力◆⑤「4個同時放水」計算!$AL$70:$AQ$70),IF($U41="止水栓",LOOKUP($I41,◆入力◆⑤「4個同時放水」計算!$AL$69:$AQ$69,◆入力◆⑤「4個同時放水」計算!$AL$71:$AQ$71),IF($U41="分水栓",LOOKUP($I41,◆入力◆⑤「4個同時放水」計算!$AL$69:$AQ$69,◆入力◆⑤「4個同時放水」計算!$AL$72:$AQ$72),IF($U41="巻き出しフレキ",LOOKUP($I41,◆入力◆⑤「4個同時放水」計算!$AL$69:$AQ$69,◆入力◆⑤「4個同時放水」計算!$AL$73:$AQ$73),IF($U41="",0,0)))))))</f>
        <v>0</v>
      </c>
      <c r="AJ41" s="115"/>
      <c r="AK41" s="57" t="s">
        <v>5</v>
      </c>
      <c r="AL41" s="63">
        <v>0.9</v>
      </c>
      <c r="AM41" s="63">
        <v>1.2</v>
      </c>
      <c r="AN41" s="63">
        <v>1.5</v>
      </c>
      <c r="AO41" s="63">
        <v>1.8</v>
      </c>
      <c r="AP41" s="63">
        <v>2.1</v>
      </c>
      <c r="AQ41" s="63">
        <v>3</v>
      </c>
      <c r="AR41" s="63">
        <v>3.6</v>
      </c>
      <c r="AS41" s="63">
        <v>4.5</v>
      </c>
      <c r="AT41" s="63">
        <v>6.3</v>
      </c>
      <c r="AU41" s="63">
        <v>7.5</v>
      </c>
      <c r="AV41" s="63">
        <v>9</v>
      </c>
      <c r="AW41" s="63">
        <v>14</v>
      </c>
      <c r="AX41" s="63">
        <v>20</v>
      </c>
      <c r="AY41" s="40"/>
      <c r="AZ41" s="40"/>
      <c r="BA41" s="40"/>
      <c r="BB41" s="180"/>
      <c r="BC41" s="40"/>
      <c r="BD41" s="40"/>
      <c r="BE41" s="40"/>
      <c r="BF41" s="40"/>
      <c r="BG41" s="40"/>
      <c r="BK41" s="40"/>
      <c r="BL41" s="40"/>
      <c r="BM41" s="40"/>
      <c r="BN41" s="40"/>
      <c r="BO41" s="40"/>
      <c r="BP41" s="40"/>
      <c r="BQ41" s="40"/>
      <c r="BR41" s="40"/>
      <c r="BS41" s="40"/>
      <c r="BT41" s="40"/>
    </row>
    <row r="42" spans="6:72" ht="15" thickBot="1" x14ac:dyDescent="0.2">
      <c r="F42" s="236"/>
      <c r="G42" s="40"/>
      <c r="H42" s="145"/>
      <c r="I42" s="146">
        <f>IF(I41="",0,IF(I40="SGP-VB",LOOKUP(I41,◆入力◆⑤「4個同時放水」計算!$AL$4:$AX$4,◆入力◆⑤「4個同時放水」計算!$AL$5:$AX$5),IF(I40="SGP-PB",LOOKUP(I41,◆入力◆⑤「4個同時放水」計算!$AL$15:$AX$15,◆入力◆⑤「4個同時放水」計算!$AL$16:$AX$16),IF(I40="HIVP",LOOKUP(I41,◆入力◆⑤「4個同時放水」計算!$AL$26:$AX$26,◆入力◆⑤「4個同時放水」計算!$AL$27:$AX$27),IF(OR(I40="SGP",I40="フレキ"),LOOKUP(I41,◆入力◆⑤「4個同時放水」計算!$AL$37:$AX$37,◆入力◆⑤「4個同時放水」計算!$AL$38:$AX$38),IF(I40="SUS",LOOKUP(I41,◆入力◆⑤「4個同時放水」計算!$AL$48:$AX$48,◆入力◆⑤「4個同時放水」計算!$AL$49:$AX$49),IF(OR(I40="PE",I40="PP"),LOOKUP(I41,◆入力◆⑤「4個同時放水」計算!$AL$59:$AX$59,◆入力◆⑤「4個同時放水」計算!$AL$60:$AX$60))))))))</f>
        <v>0</v>
      </c>
      <c r="J42" s="40"/>
      <c r="K42" s="97"/>
      <c r="L42" s="98"/>
      <c r="M42" s="99"/>
      <c r="N42" s="110"/>
      <c r="O42" s="111" t="str">
        <f>IF(I41="","","Ｔ分")</f>
        <v/>
      </c>
      <c r="P42" s="175"/>
      <c r="Q42" s="100">
        <f>IF(I41=0,0,IF(I40="SGP-VB",LOOKUP(I41,◆入力◆⑤「4個同時放水」計算!$AL$4:$AX$4,◆入力◆⑤「4個同時放水」計算!$AL$8:$AX$8),IF(I40="SGP-PB",LOOKUP(I41,◆入力◆⑤「4個同時放水」計算!$AL$15:$AX$15,◆入力◆⑤「4個同時放水」計算!$AL$19:$AX$19),IF(I40="HIVP",LOOKUP(I41,◆入力◆⑤「4個同時放水」計算!$AL$26:$AX$26,◆入力◆⑤「4個同時放水」計算!$AL$30:$AX$30),IF(OR(I40="SGP",I40="フレキ"),LOOKUP(I41,◆入力◆⑤「4個同時放水」計算!$AL$37:$AX$37,◆入力◆⑤「4個同時放水」計算!$AL$41:$AX$41),IF(I40="SUS",LOOKUP(I41,◆入力◆⑤「4個同時放水」計算!$AL$48:$AX$48,◆入力◆⑤「4個同時放水」計算!$AL$52:$AX$52),IF(OR(I40="PE",I40="PP"),LOOKUP(I41,◆入力◆⑤「4個同時放水」計算!$AL$59:$AX$59,◆入力◆⑤「4個同時放水」計算!$AL$63:$AX$63))))))))</f>
        <v>0</v>
      </c>
      <c r="R42" s="100">
        <f t="shared" si="0"/>
        <v>0</v>
      </c>
      <c r="S42" s="101"/>
      <c r="T42" s="112"/>
      <c r="U42" s="178"/>
      <c r="V42" s="175"/>
      <c r="W42" s="100">
        <f>IF($U42="Yスト",AC42,IF($I40="sgp-vb",AD42,IF($I40="sgp-pb",AE42,IF($I40="hivp",AF42,IF(OR($I40="sgp",$I40="フレキ"),AG42,IF($I40="sus",AH42,IF(OR($I40="PE",$I40="PP"),AI42,0)))))))</f>
        <v>0</v>
      </c>
      <c r="X42" s="100">
        <f t="shared" si="1"/>
        <v>0</v>
      </c>
      <c r="Y42" s="101"/>
      <c r="Z42" s="112">
        <f>ROUNDUP(L41*Y41,2)</f>
        <v>0</v>
      </c>
      <c r="AA42" s="40"/>
      <c r="AB42" s="110"/>
      <c r="AC42" s="113">
        <f>IF(U42="Yスト",IF(I40="SGP-VB",LOOKUP(I41,◆入力◆⑤「4個同時放水」計算!$AL$4:$AX$4,◆入力◆⑤「4個同時放水」計算!$AL$11:$AX$11),IF(I40="SGP-PB",LOOKUP(I41,◆入力◆⑤「4個同時放水」計算!$AL$15:$AX$15,◆入力◆⑤「4個同時放水」計算!$AL$22:$AX$22),IF(I40="HIVP",LOOKUP(I41,◆入力◆⑤「4個同時放水」計算!$AL$26:$AX$26,◆入力◆⑤「4個同時放水」計算!$AL$33:$AX$33),IF(OR(I40="SGP",I40="フレキ"),LOOKUP(I41,◆入力◆⑤「4個同時放水」計算!$AL$37:$AX$37,◆入力◆⑤「4個同時放水」計算!$AL$44:$AX$44),IF(I40="SUS",LOOKUP(I41,◆入力◆⑤「4個同時放水」計算!$AL$48:$AX$48,◆入力◆⑤「4個同時放水」計算!$AL$55:$AX$55),IF(OR(I40="PE",I40="PP"),LOOKUP(I41,◆入力◆⑤「4個同時放水」計算!$AL$59:$AX$59,◆入力◆⑤「4個同時放水」計算!$AL$66:$AX$66))))))),0)</f>
        <v>0</v>
      </c>
      <c r="AD42" s="114">
        <f>IF($U42="仕切弁",LOOKUP($I41,◆入力◆⑤「4個同時放水」計算!$AL$4:$AX$4,◆入力◆⑤「4個同時放水」計算!$AL$9:$AX$9),IF($U42="逆止弁",LOOKUP($I41,◆入力◆⑤「4個同時放水」計算!$AL$4:$AX$4,◆入力◆⑤「4個同時放水」計算!$AL$10:$AX$10),IF($U42="水道メーター",LOOKUP($I41,◆入力◆⑤「4個同時放水」計算!$AL$69:$AQ$69,◆入力◆⑤「4個同時放水」計算!$AL$70:$AQ$70),IF($U42="止水栓",LOOKUP($I41,◆入力◆⑤「4個同時放水」計算!$AL$69:$AQ$69,◆入力◆⑤「4個同時放水」計算!$AL$71:$AQ$71),IF($U42="分水栓",LOOKUP($I41,◆入力◆⑤「4個同時放水」計算!$AL$69:$AQ$69,◆入力◆⑤「4個同時放水」計算!$AL$72:$AQ$72),IF($U42="巻き出しフレキ",LOOKUP($I41,◆入力◆⑤「4個同時放水」計算!$AL$69:$AQ$69,◆入力◆⑤「4個同時放水」計算!$AL$73:$AQ$73),IF($U42="",0,0)))))))</f>
        <v>0</v>
      </c>
      <c r="AE42" s="114">
        <f>IF($U42="仕切弁",LOOKUP($I41,◆入力◆⑤「4個同時放水」計算!$AL$15:$AX$15,◆入力◆⑤「4個同時放水」計算!$AL$20:$AX$20),IF($U42="逆止弁",LOOKUP($I41,◆入力◆⑤「4個同時放水」計算!$AL$15:$AX$15,◆入力◆⑤「4個同時放水」計算!$AL$21:$AX$21),IF($U42="水道メーター",LOOKUP($I41,◆入力◆⑤「4個同時放水」計算!$AL$69:$AQ$69,◆入力◆⑤「4個同時放水」計算!$AL$70:$AQ$70),IF($U42="止水栓",LOOKUP($I41,◆入力◆⑤「4個同時放水」計算!$AL$69:$AQ$69,◆入力◆⑤「4個同時放水」計算!$AL$71:$AQ$71),IF($U42="分水栓",LOOKUP($I41,◆入力◆⑤「4個同時放水」計算!$AL$69:$AQ$69,◆入力◆⑤「4個同時放水」計算!$AL$72:$AQ$72),IF($U42="巻き出しフレキ",LOOKUP($I41,◆入力◆⑤「4個同時放水」計算!$AL$69:$AQ$69,◆入力◆⑤「4個同時放水」計算!$AL$73:$AQ$73),IF($U42="",0,0)))))))</f>
        <v>0</v>
      </c>
      <c r="AF42" s="114">
        <f>IF($U42="仕切弁",LOOKUP($I41,◆入力◆⑤「4個同時放水」計算!$AL$26:$AX$26,◆入力◆⑤「4個同時放水」計算!$AL$31:$AX$31),IF($U42="逆止弁",LOOKUP($I41,◆入力◆⑤「4個同時放水」計算!$AL$26:$AX$26,◆入力◆⑤「4個同時放水」計算!$AL$32:$AX$32),IF($U42="水道メーター",LOOKUP($I41,◆入力◆⑤「4個同時放水」計算!$AL$69:$AQ$69,◆入力◆⑤「4個同時放水」計算!$AL$70:$AQ$70),IF($U42="止水栓",LOOKUP($I41,◆入力◆⑤「4個同時放水」計算!$AL$69:$AQ$69,◆入力◆⑤「4個同時放水」計算!$AL$71:$AQ$71),IF($U42="分水栓",LOOKUP($I41,◆入力◆⑤「4個同時放水」計算!$AL$69:$AQ$69,◆入力◆⑤「4個同時放水」計算!$AL$72:$AQ$72),IF($U42="巻き出しフレキ",LOOKUP($I41,◆入力◆⑤「4個同時放水」計算!$AL$69:$AQ$69,◆入力◆⑤「4個同時放水」計算!$AL$73:$AQ$73),IF($U42="",0,0)))))))</f>
        <v>0</v>
      </c>
      <c r="AG42" s="114">
        <f>IF($U42="仕切弁",LOOKUP($I41,◆入力◆⑤「4個同時放水」計算!$AL$37:$AX$37,◆入力◆⑤「4個同時放水」計算!$AL$42:$AX$42),IF($U42="逆止弁",LOOKUP($I41,◆入力◆⑤「4個同時放水」計算!$AL$37:$AX$37,◆入力◆⑤「4個同時放水」計算!$AL$43:$AX$43),IF($U42="水道メーター",LOOKUP($I41,◆入力◆⑤「4個同時放水」計算!$AL$69:$AQ$69,◆入力◆⑤「4個同時放水」計算!$AL$70:$AQ$70),IF($U42="止水栓",LOOKUP($I41,◆入力◆⑤「4個同時放水」計算!$AL$69:$AQ$69,◆入力◆⑤「4個同時放水」計算!$AL$71:$AQ$71),IF($U42="分水栓",LOOKUP($I41,◆入力◆⑤「4個同時放水」計算!$AL$69:$AQ$69,◆入力◆⑤「4個同時放水」計算!$AL$72:$AQ$72),IF($U42="巻き出しフレキ",LOOKUP($I41,◆入力◆⑤「4個同時放水」計算!$AL$69:$AQ$69,◆入力◆⑤「4個同時放水」計算!$AL$73:$AQ$73),IF($U42="",0,0)))))))</f>
        <v>0</v>
      </c>
      <c r="AH42" s="114">
        <f>IF($U42="仕切弁",LOOKUP($I41,◆入力◆⑤「4個同時放水」計算!$AL$48:$AX$48,◆入力◆⑤「4個同時放水」計算!$AL$53:$AX$53),IF($U42="逆止弁",LOOKUP($I41,◆入力◆⑤「4個同時放水」計算!$AL$48:$AX$48,◆入力◆⑤「4個同時放水」計算!$AL$54:$AX$54),IF($U42="水道メーター",LOOKUP($I41,◆入力◆⑤「4個同時放水」計算!$AL$69:$AQ$69,◆入力◆⑤「4個同時放水」計算!$AL$70:$AQ$70),IF($U42="止水栓",LOOKUP($I41,◆入力◆⑤「4個同時放水」計算!$AL$69:$AQ$69,◆入力◆⑤「4個同時放水」計算!$AL$71:$AQ$71),IF($U42="分水栓",LOOKUP($I41,◆入力◆⑤「4個同時放水」計算!$AL$69:$AQ$69,◆入力◆⑤「4個同時放水」計算!$AL$72:$AQ$72),IF($U42="巻き出しフレキ",LOOKUP($I41,◆入力◆⑤「4個同時放水」計算!$AL$69:$AQ$69,◆入力◆⑤「4個同時放水」計算!$AL$73:$AQ$73),IF($U42="",0,0)))))))</f>
        <v>0</v>
      </c>
      <c r="AI42" s="114">
        <f>IF($U42="仕切弁",LOOKUP($I41,◆入力◆⑤「4個同時放水」計算!$AL$59:$AX$59,◆入力◆⑤「4個同時放水」計算!$AL$64:$AX$64),IF($U42="逆止弁",LOOKUP($I41,◆入力◆⑤「4個同時放水」計算!$AL$59:$AX$59,◆入力◆⑤「4個同時放水」計算!$AL$65:$AX$65),IF($U42="水道メーター",LOOKUP($I41,◆入力◆⑤「4個同時放水」計算!$AL$69:$AQ$69,◆入力◆⑤「4個同時放水」計算!$AL$70:$AQ$70),IF($U42="止水栓",LOOKUP($I41,◆入力◆⑤「4個同時放水」計算!$AL$69:$AQ$69,◆入力◆⑤「4個同時放水」計算!$AL$71:$AQ$71),IF($U42="分水栓",LOOKUP($I41,◆入力◆⑤「4個同時放水」計算!$AL$69:$AQ$69,◆入力◆⑤「4個同時放水」計算!$AL$72:$AQ$72),IF($U42="巻き出しフレキ",LOOKUP($I41,◆入力◆⑤「4個同時放水」計算!$AL$69:$AQ$69,◆入力◆⑤「4個同時放水」計算!$AL$73:$AQ$73),IF($U42="",0,0)))))))</f>
        <v>0</v>
      </c>
      <c r="AJ42" s="115"/>
      <c r="AK42" s="57" t="s">
        <v>6</v>
      </c>
      <c r="AL42" s="63">
        <v>0.12</v>
      </c>
      <c r="AM42" s="63">
        <v>0.15</v>
      </c>
      <c r="AN42" s="63">
        <v>0.18</v>
      </c>
      <c r="AO42" s="63">
        <v>0.24</v>
      </c>
      <c r="AP42" s="63">
        <v>0.3</v>
      </c>
      <c r="AQ42" s="63">
        <v>0.39</v>
      </c>
      <c r="AR42" s="63">
        <v>0.48</v>
      </c>
      <c r="AS42" s="63">
        <v>0.63</v>
      </c>
      <c r="AT42" s="63">
        <v>0.81</v>
      </c>
      <c r="AU42" s="63">
        <v>0.99</v>
      </c>
      <c r="AV42" s="63">
        <v>1.2</v>
      </c>
      <c r="AW42" s="63">
        <v>1.4</v>
      </c>
      <c r="AX42" s="63">
        <v>1.7</v>
      </c>
      <c r="AY42" s="40"/>
      <c r="AZ42" s="40"/>
      <c r="BA42" s="40"/>
      <c r="BB42" s="180"/>
      <c r="BC42" s="40"/>
      <c r="BD42" s="40"/>
      <c r="BE42" s="40"/>
      <c r="BF42" s="40"/>
      <c r="BG42" s="40"/>
      <c r="BK42" s="40"/>
      <c r="BL42" s="40"/>
      <c r="BM42" s="40"/>
      <c r="BN42" s="40"/>
      <c r="BO42" s="40"/>
      <c r="BP42" s="40"/>
      <c r="BQ42" s="40"/>
      <c r="BR42" s="40"/>
      <c r="BS42" s="40"/>
      <c r="BT42" s="40"/>
    </row>
    <row r="43" spans="6:72" ht="15" thickBot="1" x14ac:dyDescent="0.2">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115"/>
      <c r="AF43" s="115"/>
      <c r="AG43" s="115"/>
      <c r="AH43" s="115"/>
      <c r="AI43" s="115"/>
      <c r="AJ43" s="115"/>
      <c r="AK43" s="57" t="s">
        <v>41</v>
      </c>
      <c r="AL43" s="63">
        <v>1.2</v>
      </c>
      <c r="AM43" s="63">
        <v>1.6</v>
      </c>
      <c r="AN43" s="63">
        <v>2</v>
      </c>
      <c r="AO43" s="63">
        <v>2.5</v>
      </c>
      <c r="AP43" s="63">
        <v>3.1</v>
      </c>
      <c r="AQ43" s="63">
        <v>4</v>
      </c>
      <c r="AR43" s="63">
        <v>4.5999999999999996</v>
      </c>
      <c r="AS43" s="63">
        <v>5.7</v>
      </c>
      <c r="AT43" s="63">
        <v>7.6</v>
      </c>
      <c r="AU43" s="63">
        <v>10</v>
      </c>
      <c r="AV43" s="63">
        <v>12</v>
      </c>
      <c r="AW43" s="63">
        <v>15</v>
      </c>
      <c r="AX43" s="63">
        <v>19</v>
      </c>
      <c r="AY43" s="40"/>
      <c r="AZ43" s="40"/>
      <c r="BA43" s="40"/>
      <c r="BB43" s="180"/>
      <c r="BC43" s="40"/>
      <c r="BD43" s="40"/>
      <c r="BE43" s="40"/>
      <c r="BF43" s="40"/>
      <c r="BG43" s="40"/>
      <c r="BK43" s="40"/>
      <c r="BL43" s="40"/>
      <c r="BM43" s="40"/>
      <c r="BN43" s="40"/>
      <c r="BO43" s="40"/>
      <c r="BP43" s="40"/>
      <c r="BQ43" s="40"/>
      <c r="BR43" s="40"/>
      <c r="BS43" s="40"/>
      <c r="BT43" s="40"/>
    </row>
    <row r="44" spans="6:72" ht="15" thickBot="1" x14ac:dyDescent="0.2">
      <c r="F44" s="40"/>
      <c r="G44" s="40"/>
      <c r="H44" s="64" t="s">
        <v>20</v>
      </c>
      <c r="I44" s="53"/>
      <c r="J44" s="40"/>
      <c r="K44" s="40"/>
      <c r="L44" s="40"/>
      <c r="M44" s="40"/>
      <c r="N44" s="116">
        <f>IF(OR(L46="h",L46="xs",L46="ｈ",L46="ｘｓ"),(N11+N14+N17+N20+N23+N26+N29+N32+N35+N38+N41)*1.1,N11+N14+N17+N20+N23+N26+N29+N32+N35+N38+N41)</f>
        <v>0</v>
      </c>
      <c r="O44" s="40"/>
      <c r="P44" s="40"/>
      <c r="Q44" s="40"/>
      <c r="R44" s="40"/>
      <c r="S44" s="40"/>
      <c r="T44" s="116">
        <f>IF(OR(L46="h",L46="xs",L46="ｈ",L46="ｘｓ"),(T10+T11+T14+T17+T20+T23+T26+T29+T32+T35+T38+T41)*1.1,T10+T11+T14+T17+T20+T23+T26+T29+T32+T35+T38+T41)</f>
        <v>0</v>
      </c>
      <c r="U44" s="40"/>
      <c r="V44" s="40"/>
      <c r="W44" s="40"/>
      <c r="X44" s="40"/>
      <c r="Y44" s="40"/>
      <c r="Z44" s="116">
        <f>SUM(Z10:Z42)</f>
        <v>0</v>
      </c>
      <c r="AA44" s="40"/>
      <c r="AB44" s="116">
        <f>N44+T44+Z44</f>
        <v>0</v>
      </c>
      <c r="AC44" s="88"/>
      <c r="AD44" s="40"/>
      <c r="AE44" s="40"/>
      <c r="AF44" s="40"/>
      <c r="AG44" s="40"/>
      <c r="AH44" s="40"/>
      <c r="AI44" s="40"/>
      <c r="AJ44" s="115"/>
      <c r="AK44" s="57" t="s">
        <v>42</v>
      </c>
      <c r="AL44" s="63">
        <v>1.38</v>
      </c>
      <c r="AM44" s="63">
        <v>2.1800000000000002</v>
      </c>
      <c r="AN44" s="63">
        <v>3</v>
      </c>
      <c r="AO44" s="63">
        <v>4.62</v>
      </c>
      <c r="AP44" s="63">
        <v>5.47</v>
      </c>
      <c r="AQ44" s="63">
        <v>8</v>
      </c>
      <c r="AR44" s="63">
        <v>11.45</v>
      </c>
      <c r="AS44" s="63">
        <v>14.11</v>
      </c>
      <c r="AT44" s="63">
        <v>21.62</v>
      </c>
      <c r="AU44" s="63">
        <v>31.57</v>
      </c>
      <c r="AV44" s="63">
        <v>41.17</v>
      </c>
      <c r="AW44" s="63">
        <v>54.83</v>
      </c>
      <c r="AX44" s="63">
        <v>70.37</v>
      </c>
      <c r="AY44" s="40"/>
      <c r="AZ44" s="40"/>
      <c r="BA44" s="40"/>
      <c r="BB44" s="180"/>
      <c r="BC44" s="40"/>
      <c r="BD44" s="40"/>
      <c r="BE44" s="40"/>
      <c r="BF44" s="40"/>
      <c r="BG44" s="40"/>
      <c r="BK44" s="40"/>
      <c r="BL44" s="40"/>
      <c r="BM44" s="40"/>
      <c r="BN44" s="40"/>
      <c r="BO44" s="40"/>
      <c r="BP44" s="40"/>
      <c r="BQ44" s="40"/>
      <c r="BR44" s="40"/>
      <c r="BS44" s="40"/>
      <c r="BT44" s="40"/>
    </row>
    <row r="45" spans="6:72" x14ac:dyDescent="0.15">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115"/>
      <c r="AY45" s="40"/>
      <c r="AZ45" s="40"/>
      <c r="BA45" s="40"/>
      <c r="BB45" s="180"/>
      <c r="BC45" s="40"/>
      <c r="BD45" s="40"/>
      <c r="BE45" s="40"/>
      <c r="BF45" s="40"/>
      <c r="BG45" s="40"/>
      <c r="BK45" s="40"/>
      <c r="BL45" s="40"/>
      <c r="BM45" s="40"/>
      <c r="BN45" s="40"/>
      <c r="BO45" s="40"/>
      <c r="BP45" s="40"/>
      <c r="BQ45" s="40"/>
      <c r="BR45" s="40"/>
      <c r="BS45" s="40"/>
      <c r="BT45" s="40"/>
    </row>
    <row r="46" spans="6:72" x14ac:dyDescent="0.15">
      <c r="F46" s="64" t="s">
        <v>32</v>
      </c>
      <c r="G46" s="66"/>
      <c r="H46" s="53"/>
      <c r="I46" s="117">
        <f>IF(L47="*1.1",ROUNDUP(AB44*1.1,2),IF(L47="＊１．１",ROUNDUP(AB44*1.1,2),IF(L47="*1.15",ROUNDUP(AB44*1.15,2),IF(L47="＊１．１５",ROUNDUP(AB44*1.15,2),AB44))))</f>
        <v>0</v>
      </c>
      <c r="J46" s="60"/>
      <c r="K46" s="362" t="s">
        <v>33</v>
      </c>
      <c r="L46" s="118" t="s">
        <v>43</v>
      </c>
      <c r="M46" s="54"/>
      <c r="N46" s="54"/>
      <c r="O46" s="40"/>
      <c r="P46" s="40"/>
      <c r="Q46" s="40"/>
      <c r="R46" s="40"/>
      <c r="S46" s="40"/>
      <c r="T46" s="40"/>
      <c r="U46" s="40"/>
      <c r="V46" s="40"/>
      <c r="W46" s="40"/>
      <c r="X46" s="40"/>
      <c r="Y46" s="40"/>
      <c r="Z46" s="40"/>
      <c r="AA46" s="40"/>
      <c r="AB46" s="40"/>
      <c r="AC46" s="40"/>
      <c r="AD46" s="40"/>
      <c r="AE46" s="40"/>
      <c r="AF46" s="40"/>
      <c r="AG46" s="40"/>
      <c r="AH46" s="40"/>
      <c r="AI46" s="40"/>
      <c r="AJ46" s="115"/>
      <c r="AY46" s="40"/>
      <c r="AZ46" s="40"/>
      <c r="BA46" s="40"/>
      <c r="BB46" s="180"/>
      <c r="BC46" s="40"/>
      <c r="BD46" s="40"/>
      <c r="BE46" s="40"/>
      <c r="BF46" s="40"/>
      <c r="BG46" s="40"/>
      <c r="BK46" s="40"/>
      <c r="BL46" s="40"/>
      <c r="BM46" s="40"/>
      <c r="BN46" s="40"/>
      <c r="BO46" s="40"/>
      <c r="BP46" s="40"/>
      <c r="BQ46" s="40"/>
      <c r="BR46" s="40"/>
      <c r="BS46" s="40"/>
      <c r="BT46" s="40"/>
    </row>
    <row r="47" spans="6:72" x14ac:dyDescent="0.15">
      <c r="F47" s="119" t="s">
        <v>49</v>
      </c>
      <c r="G47" s="54"/>
      <c r="H47" s="120"/>
      <c r="I47" s="121">
        <v>2.5</v>
      </c>
      <c r="J47" s="40"/>
      <c r="K47" s="362" t="s">
        <v>33</v>
      </c>
      <c r="L47" s="122">
        <f>IF(L46="S",0,IF(L46="Ｓ",0,IF(L46="F",0,IF(L46="Ｆ",0,IF(L46="*1.1","*1.1",IF(L46="＊１．１","*1.1",IF(L46="*1.15","*1.15",IF(L46="＊１．１５","*1.15",0))))))))</f>
        <v>0</v>
      </c>
      <c r="M47" s="54"/>
      <c r="N47" s="54"/>
      <c r="O47" s="40"/>
      <c r="P47" s="40"/>
      <c r="Q47" s="40"/>
      <c r="R47" s="40"/>
      <c r="S47" s="40"/>
      <c r="T47" s="40"/>
      <c r="U47" s="40"/>
      <c r="V47" s="40"/>
      <c r="W47" s="40"/>
      <c r="X47" s="40"/>
      <c r="Y47" s="40"/>
      <c r="Z47" s="40"/>
      <c r="AA47" s="40"/>
      <c r="AB47" s="40"/>
      <c r="AC47" s="40"/>
      <c r="AD47" s="40"/>
      <c r="AE47" s="40"/>
      <c r="AF47" s="40"/>
      <c r="AG47" s="40"/>
      <c r="AH47" s="40"/>
      <c r="AI47" s="40"/>
      <c r="AJ47" s="115"/>
      <c r="AK47" s="108" t="s">
        <v>86</v>
      </c>
      <c r="AL47" s="108"/>
      <c r="AM47" s="108"/>
      <c r="AN47" s="109" t="s">
        <v>87</v>
      </c>
      <c r="AY47" s="40"/>
      <c r="AZ47" s="40"/>
      <c r="BA47" s="40"/>
      <c r="BB47" s="180"/>
      <c r="BC47" s="40"/>
      <c r="BD47" s="40"/>
      <c r="BE47" s="40"/>
      <c r="BF47" s="40"/>
      <c r="BG47" s="40"/>
      <c r="BK47" s="40"/>
      <c r="BL47" s="40"/>
      <c r="BM47" s="40"/>
      <c r="BN47" s="40"/>
      <c r="BO47" s="40"/>
      <c r="BP47" s="40"/>
      <c r="BQ47" s="40"/>
      <c r="BR47" s="40"/>
      <c r="BS47" s="40"/>
      <c r="BT47" s="40"/>
    </row>
    <row r="48" spans="6:72" x14ac:dyDescent="0.15">
      <c r="F48" s="64" t="s">
        <v>34</v>
      </c>
      <c r="G48" s="66"/>
      <c r="H48" s="53"/>
      <c r="I48" s="185">
        <f>◆入力◆④「1個放水」計算!I48</f>
        <v>0</v>
      </c>
      <c r="J48" s="60"/>
      <c r="K48" s="362" t="s">
        <v>33</v>
      </c>
      <c r="L48" s="40"/>
      <c r="M48" s="40"/>
      <c r="N48" s="40"/>
      <c r="O48" s="363"/>
      <c r="P48" s="40"/>
      <c r="Q48" s="123"/>
      <c r="R48" s="363"/>
      <c r="S48" s="40"/>
      <c r="T48" s="123"/>
      <c r="U48" s="54"/>
      <c r="V48" s="54"/>
      <c r="W48" s="123"/>
      <c r="X48" s="123"/>
      <c r="Y48" s="54"/>
      <c r="Z48" s="54"/>
      <c r="AA48" s="54"/>
      <c r="AB48" s="123"/>
      <c r="AC48" s="123"/>
      <c r="AD48" s="40"/>
      <c r="AE48" s="40"/>
      <c r="AF48" s="40"/>
      <c r="AG48" s="40"/>
      <c r="AH48" s="40"/>
      <c r="AI48" s="40"/>
      <c r="AJ48" s="115"/>
      <c r="AK48" s="57" t="s">
        <v>75</v>
      </c>
      <c r="AL48" s="58">
        <v>13</v>
      </c>
      <c r="AM48" s="58">
        <v>20</v>
      </c>
      <c r="AN48" s="58">
        <v>25</v>
      </c>
      <c r="AO48" s="58">
        <v>30</v>
      </c>
      <c r="AP48" s="58">
        <v>40</v>
      </c>
      <c r="AQ48" s="58">
        <v>50</v>
      </c>
      <c r="AR48" s="58"/>
      <c r="AS48" s="58"/>
      <c r="AT48" s="58"/>
      <c r="AU48" s="58"/>
      <c r="AV48" s="58"/>
      <c r="AW48" s="58"/>
      <c r="AX48" s="58"/>
      <c r="AY48" s="40"/>
      <c r="AZ48" s="40"/>
      <c r="BA48" s="40"/>
      <c r="BB48" s="180"/>
      <c r="BC48" s="40"/>
      <c r="BD48" s="40"/>
      <c r="BE48" s="40"/>
      <c r="BF48" s="40"/>
      <c r="BG48" s="40"/>
      <c r="BK48" s="40"/>
      <c r="BL48" s="40"/>
      <c r="BM48" s="40"/>
      <c r="BN48" s="40"/>
      <c r="BO48" s="40"/>
      <c r="BP48" s="40"/>
      <c r="BQ48" s="40"/>
      <c r="BR48" s="40"/>
      <c r="BS48" s="40"/>
      <c r="BT48" s="40"/>
    </row>
    <row r="49" spans="6:72" x14ac:dyDescent="0.15">
      <c r="F49" s="119" t="s">
        <v>35</v>
      </c>
      <c r="G49" s="54"/>
      <c r="H49" s="120"/>
      <c r="I49" s="88">
        <f>SUM(I46:I48)</f>
        <v>2.5</v>
      </c>
      <c r="J49" s="40"/>
      <c r="K49" s="362" t="s">
        <v>33</v>
      </c>
      <c r="L49" s="40"/>
      <c r="M49" s="40"/>
      <c r="N49" s="40"/>
      <c r="O49" s="40"/>
      <c r="P49" s="40"/>
      <c r="Q49" s="54"/>
      <c r="R49" s="54"/>
      <c r="S49" s="54"/>
      <c r="T49" s="54"/>
      <c r="U49" s="54"/>
      <c r="V49" s="54"/>
      <c r="W49" s="54"/>
      <c r="X49" s="54"/>
      <c r="Y49" s="54"/>
      <c r="Z49" s="54"/>
      <c r="AA49" s="54"/>
      <c r="AB49" s="40"/>
      <c r="AC49" s="40"/>
      <c r="AD49" s="40"/>
      <c r="AE49" s="40"/>
      <c r="AF49" s="40"/>
      <c r="AG49" s="40"/>
      <c r="AH49" s="40"/>
      <c r="AI49" s="40"/>
      <c r="AJ49" s="115"/>
      <c r="AK49" s="57" t="s">
        <v>76</v>
      </c>
      <c r="AL49" s="63">
        <v>1.4279999999999999</v>
      </c>
      <c r="AM49" s="63">
        <v>2.0219999999999998</v>
      </c>
      <c r="AN49" s="63">
        <v>2.6579999999999999</v>
      </c>
      <c r="AO49" s="63">
        <v>3.16</v>
      </c>
      <c r="AP49" s="63">
        <v>4.03</v>
      </c>
      <c r="AQ49" s="63">
        <v>4.62</v>
      </c>
      <c r="AR49" s="63"/>
      <c r="AS49" s="63"/>
      <c r="AT49" s="63"/>
      <c r="AU49" s="63"/>
      <c r="AV49" s="63"/>
      <c r="AW49" s="63"/>
      <c r="AX49" s="63"/>
      <c r="AY49" s="40"/>
      <c r="AZ49" s="40"/>
      <c r="BA49" s="40"/>
      <c r="BB49" s="180"/>
      <c r="BC49" s="40"/>
      <c r="BD49" s="40"/>
      <c r="BE49" s="40"/>
      <c r="BF49" s="40"/>
      <c r="BG49" s="40"/>
      <c r="BK49" s="40"/>
      <c r="BL49" s="40"/>
      <c r="BM49" s="40"/>
      <c r="BN49" s="40"/>
      <c r="BO49" s="40"/>
      <c r="BP49" s="40"/>
      <c r="BQ49" s="40"/>
      <c r="BR49" s="40"/>
      <c r="BS49" s="40"/>
      <c r="BT49" s="40"/>
    </row>
    <row r="50" spans="6:72" x14ac:dyDescent="0.15">
      <c r="F50" s="64" t="s">
        <v>57</v>
      </c>
      <c r="G50" s="66"/>
      <c r="H50" s="53"/>
      <c r="I50" s="59">
        <v>1.1000000000000001</v>
      </c>
      <c r="J50" s="60"/>
      <c r="K50" s="362"/>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115"/>
      <c r="AK50" s="57" t="s">
        <v>4</v>
      </c>
      <c r="AL50" s="63">
        <v>0.6</v>
      </c>
      <c r="AM50" s="63">
        <v>0.75</v>
      </c>
      <c r="AN50" s="63">
        <v>0.9</v>
      </c>
      <c r="AO50" s="63">
        <v>1.2</v>
      </c>
      <c r="AP50" s="63">
        <v>1.5</v>
      </c>
      <c r="AQ50" s="63">
        <v>2.1</v>
      </c>
      <c r="AR50" s="63"/>
      <c r="AS50" s="63"/>
      <c r="AT50" s="63"/>
      <c r="AU50" s="63"/>
      <c r="AV50" s="63"/>
      <c r="AW50" s="63"/>
      <c r="AX50" s="63"/>
      <c r="AY50" s="40"/>
      <c r="AZ50" s="40"/>
      <c r="BA50" s="40"/>
      <c r="BB50" s="180"/>
      <c r="BC50" s="40"/>
      <c r="BD50" s="40"/>
      <c r="BE50" s="40"/>
      <c r="BF50" s="40"/>
      <c r="BG50" s="40"/>
      <c r="BK50" s="40"/>
      <c r="BL50" s="40"/>
      <c r="BM50" s="40"/>
      <c r="BN50" s="40"/>
      <c r="BO50" s="40"/>
      <c r="BP50" s="40"/>
      <c r="BQ50" s="40"/>
      <c r="BR50" s="40"/>
      <c r="BS50" s="40"/>
      <c r="BT50" s="40"/>
    </row>
    <row r="51" spans="6:72" x14ac:dyDescent="0.15">
      <c r="F51" s="406" t="s">
        <v>79</v>
      </c>
      <c r="G51" s="407"/>
      <c r="H51" s="408"/>
      <c r="I51" s="216">
        <f>ROUNDUP(I49*I50,2)</f>
        <v>2.75</v>
      </c>
      <c r="J51" s="60"/>
      <c r="K51" s="362" t="s">
        <v>80</v>
      </c>
      <c r="L51" s="40"/>
      <c r="M51" s="54"/>
      <c r="N51" s="54"/>
      <c r="O51" s="40"/>
      <c r="P51" s="40"/>
      <c r="Q51" s="40"/>
      <c r="R51" s="40"/>
      <c r="S51" s="40"/>
      <c r="T51" s="40"/>
      <c r="U51" s="40"/>
      <c r="V51" s="40"/>
      <c r="W51" s="40"/>
      <c r="X51" s="40"/>
      <c r="Y51" s="40"/>
      <c r="Z51" s="40"/>
      <c r="AA51" s="40"/>
      <c r="AB51" s="40"/>
      <c r="AC51" s="40"/>
      <c r="AD51" s="40"/>
      <c r="AE51" s="40"/>
      <c r="AF51" s="40"/>
      <c r="AG51" s="40"/>
      <c r="AH51" s="40"/>
      <c r="AI51" s="40"/>
      <c r="AJ51" s="115"/>
      <c r="AK51" s="57" t="s">
        <v>38</v>
      </c>
      <c r="AL51" s="63">
        <v>0.18</v>
      </c>
      <c r="AM51" s="63">
        <v>0.24</v>
      </c>
      <c r="AN51" s="63">
        <v>0.27</v>
      </c>
      <c r="AO51" s="63">
        <v>0.36</v>
      </c>
      <c r="AP51" s="63">
        <v>0.45</v>
      </c>
      <c r="AQ51" s="63">
        <v>0.6</v>
      </c>
      <c r="AR51" s="63"/>
      <c r="AS51" s="63"/>
      <c r="AT51" s="63"/>
      <c r="AU51" s="63"/>
      <c r="AV51" s="63"/>
      <c r="AW51" s="63"/>
      <c r="AX51" s="63"/>
      <c r="AY51" s="40"/>
      <c r="AZ51" s="40"/>
      <c r="BA51" s="40"/>
      <c r="BB51" s="180"/>
      <c r="BC51" s="40"/>
      <c r="BD51" s="40"/>
      <c r="BE51" s="40"/>
      <c r="BF51" s="40"/>
      <c r="BG51" s="40"/>
      <c r="BK51" s="40"/>
      <c r="BL51" s="40"/>
      <c r="BM51" s="40"/>
      <c r="BN51" s="40"/>
      <c r="BO51" s="40"/>
      <c r="BP51" s="40"/>
      <c r="BQ51" s="40"/>
      <c r="BR51" s="40"/>
      <c r="BS51" s="40"/>
      <c r="BT51" s="40"/>
    </row>
    <row r="52" spans="6:72" ht="14.25" customHeight="1" x14ac:dyDescent="0.15">
      <c r="F52" s="40"/>
      <c r="G52" s="40"/>
      <c r="H52" s="40"/>
      <c r="I52" s="40"/>
      <c r="J52" s="40"/>
      <c r="K52" s="56"/>
      <c r="L52" s="40"/>
      <c r="M52" s="54"/>
      <c r="N52" s="54"/>
      <c r="O52" s="40"/>
      <c r="P52" s="40"/>
      <c r="Q52" s="40"/>
      <c r="R52" s="40"/>
      <c r="S52" s="40"/>
      <c r="T52" s="40"/>
      <c r="U52" s="40"/>
      <c r="V52" s="40"/>
      <c r="W52" s="40"/>
      <c r="X52" s="40"/>
      <c r="Y52" s="40"/>
      <c r="Z52" s="40"/>
      <c r="AA52" s="40"/>
      <c r="AB52" s="40"/>
      <c r="AC52" s="40"/>
      <c r="AD52" s="40"/>
      <c r="AE52" s="40"/>
      <c r="AF52" s="40"/>
      <c r="AG52" s="40"/>
      <c r="AH52" s="40"/>
      <c r="AI52" s="40"/>
      <c r="AJ52" s="115"/>
      <c r="AK52" s="57" t="s">
        <v>5</v>
      </c>
      <c r="AL52" s="63">
        <v>0.9</v>
      </c>
      <c r="AM52" s="63">
        <v>1.2</v>
      </c>
      <c r="AN52" s="63">
        <v>1.5</v>
      </c>
      <c r="AO52" s="63">
        <v>1.8</v>
      </c>
      <c r="AP52" s="63">
        <v>2.1</v>
      </c>
      <c r="AQ52" s="63">
        <v>3</v>
      </c>
      <c r="AR52" s="63"/>
      <c r="AS52" s="63"/>
      <c r="AT52" s="63"/>
      <c r="AU52" s="63"/>
      <c r="AV52" s="63"/>
      <c r="AW52" s="63"/>
      <c r="AX52" s="63"/>
      <c r="AY52" s="40"/>
      <c r="AZ52" s="40"/>
      <c r="BA52" s="40"/>
      <c r="BB52" s="180"/>
      <c r="BC52" s="40"/>
      <c r="BD52" s="40"/>
      <c r="BE52" s="40"/>
      <c r="BF52" s="40"/>
      <c r="BG52" s="40"/>
      <c r="BK52" s="40"/>
      <c r="BL52" s="40"/>
      <c r="BM52" s="40"/>
      <c r="BN52" s="40"/>
      <c r="BO52" s="40"/>
      <c r="BP52" s="40"/>
      <c r="BQ52" s="40"/>
      <c r="BR52" s="40"/>
      <c r="BS52" s="40"/>
      <c r="BT52" s="40"/>
    </row>
    <row r="53" spans="6:72" x14ac:dyDescent="0.15">
      <c r="F53" s="409" t="s">
        <v>50</v>
      </c>
      <c r="G53" s="415"/>
      <c r="H53" s="416"/>
      <c r="I53" s="216">
        <f>ROUNDUP(I51/100,2)</f>
        <v>0.03</v>
      </c>
      <c r="J53" s="60"/>
      <c r="K53" s="362" t="str">
        <f>"MPa"</f>
        <v>MPa</v>
      </c>
      <c r="L53" s="40"/>
      <c r="M53" s="54"/>
      <c r="N53" s="54"/>
      <c r="O53" s="40"/>
      <c r="P53" s="40"/>
      <c r="Q53" s="40"/>
      <c r="R53" s="40"/>
      <c r="S53" s="40"/>
      <c r="T53" s="40"/>
      <c r="U53" s="40"/>
      <c r="V53" s="40"/>
      <c r="W53" s="40"/>
      <c r="X53" s="40"/>
      <c r="Y53" s="40"/>
      <c r="Z53" s="40"/>
      <c r="AA53" s="40"/>
      <c r="AB53" s="40"/>
      <c r="AC53" s="40"/>
      <c r="AD53" s="40"/>
      <c r="AE53" s="40"/>
      <c r="AF53" s="40"/>
      <c r="AG53" s="40"/>
      <c r="AH53" s="40"/>
      <c r="AI53" s="40"/>
      <c r="AJ53" s="115"/>
      <c r="AK53" s="57" t="s">
        <v>6</v>
      </c>
      <c r="AL53" s="63">
        <v>0.12</v>
      </c>
      <c r="AM53" s="63">
        <v>0.15</v>
      </c>
      <c r="AN53" s="63">
        <v>0.18</v>
      </c>
      <c r="AO53" s="63">
        <v>0.24</v>
      </c>
      <c r="AP53" s="63">
        <v>0.3</v>
      </c>
      <c r="AQ53" s="63">
        <v>0.39</v>
      </c>
      <c r="AR53" s="63"/>
      <c r="AS53" s="63"/>
      <c r="AT53" s="63"/>
      <c r="AU53" s="63"/>
      <c r="AV53" s="63"/>
      <c r="AW53" s="63"/>
      <c r="AX53" s="63"/>
      <c r="AY53" s="40"/>
      <c r="AZ53" s="40"/>
      <c r="BA53" s="40"/>
      <c r="BB53" s="180"/>
      <c r="BC53" s="40"/>
      <c r="BD53" s="40"/>
      <c r="BE53" s="40"/>
      <c r="BF53" s="40"/>
      <c r="BG53" s="40"/>
      <c r="BK53" s="40"/>
      <c r="BL53" s="40"/>
      <c r="BM53" s="40"/>
      <c r="BN53" s="40"/>
      <c r="BO53" s="40"/>
      <c r="BP53" s="40"/>
      <c r="BQ53" s="40"/>
      <c r="BR53" s="40"/>
      <c r="BS53" s="40"/>
      <c r="BT53" s="40"/>
    </row>
    <row r="54" spans="6:72" ht="17.25" customHeight="1" x14ac:dyDescent="0.15">
      <c r="F54" s="54"/>
      <c r="G54" s="54"/>
      <c r="H54" s="54"/>
      <c r="I54" s="88"/>
      <c r="J54" s="40"/>
      <c r="K54" s="363"/>
      <c r="L54" s="40"/>
      <c r="M54" s="54"/>
      <c r="N54" s="54"/>
      <c r="O54" s="40"/>
      <c r="P54" s="40"/>
      <c r="Q54" s="40"/>
      <c r="R54" s="40"/>
      <c r="S54" s="40"/>
      <c r="T54" s="40"/>
      <c r="U54" s="40"/>
      <c r="V54" s="40"/>
      <c r="W54" s="40"/>
      <c r="X54" s="40"/>
      <c r="Y54" s="40"/>
      <c r="Z54" s="40"/>
      <c r="AA54" s="40"/>
      <c r="AB54" s="40"/>
      <c r="AC54" s="40"/>
      <c r="AD54" s="40"/>
      <c r="AE54" s="40"/>
      <c r="AF54" s="40"/>
      <c r="AG54" s="40"/>
      <c r="AH54" s="40"/>
      <c r="AI54" s="40"/>
      <c r="AJ54" s="115"/>
      <c r="AK54" s="57" t="s">
        <v>41</v>
      </c>
      <c r="AL54" s="63">
        <v>1.2</v>
      </c>
      <c r="AM54" s="63">
        <v>1.6</v>
      </c>
      <c r="AN54" s="63">
        <v>2</v>
      </c>
      <c r="AO54" s="63">
        <v>2.5</v>
      </c>
      <c r="AP54" s="63">
        <v>3.1</v>
      </c>
      <c r="AQ54" s="63">
        <v>4</v>
      </c>
      <c r="AR54" s="63"/>
      <c r="AS54" s="63"/>
      <c r="AT54" s="63"/>
      <c r="AU54" s="63"/>
      <c r="AV54" s="63"/>
      <c r="AW54" s="63"/>
      <c r="AX54" s="63"/>
      <c r="AY54" s="40"/>
      <c r="AZ54" s="40"/>
      <c r="BA54" s="40"/>
      <c r="BB54" s="180"/>
      <c r="BC54" s="40"/>
      <c r="BD54" s="40"/>
      <c r="BE54" s="40"/>
      <c r="BF54" s="40"/>
      <c r="BG54" s="40"/>
      <c r="BK54" s="40"/>
      <c r="BL54" s="40"/>
      <c r="BM54" s="40"/>
      <c r="BN54" s="40"/>
      <c r="BO54" s="40"/>
      <c r="BP54" s="40"/>
      <c r="BQ54" s="40"/>
      <c r="BR54" s="40"/>
      <c r="BS54" s="40"/>
      <c r="BT54" s="40"/>
    </row>
    <row r="55" spans="6:72" ht="18" customHeight="1" x14ac:dyDescent="0.15">
      <c r="F55" s="54"/>
      <c r="G55" s="54"/>
      <c r="H55" s="54"/>
      <c r="I55" s="40"/>
      <c r="J55" s="40"/>
      <c r="K55" s="52"/>
      <c r="L55" s="40"/>
      <c r="M55" s="54"/>
      <c r="N55" s="54"/>
      <c r="O55" s="40"/>
      <c r="P55" s="40"/>
      <c r="Q55" s="40"/>
      <c r="R55" s="40"/>
      <c r="S55" s="40"/>
      <c r="T55" s="40"/>
      <c r="U55" s="40"/>
      <c r="V55" s="40"/>
      <c r="W55" s="40"/>
      <c r="X55" s="40"/>
      <c r="Y55" s="40"/>
      <c r="Z55" s="40"/>
      <c r="AA55" s="40"/>
      <c r="AB55" s="40"/>
      <c r="AC55" s="40"/>
      <c r="AD55" s="40"/>
      <c r="AE55" s="40"/>
      <c r="AF55" s="40"/>
      <c r="AG55" s="40"/>
      <c r="AH55" s="40"/>
      <c r="AI55" s="40"/>
      <c r="AJ55" s="40"/>
      <c r="AK55" s="57" t="s">
        <v>42</v>
      </c>
      <c r="AL55" s="63">
        <v>1.38</v>
      </c>
      <c r="AM55" s="63">
        <v>2.1800000000000002</v>
      </c>
      <c r="AN55" s="63">
        <v>3</v>
      </c>
      <c r="AO55" s="63">
        <v>4.62</v>
      </c>
      <c r="AP55" s="63">
        <v>5.47</v>
      </c>
      <c r="AQ55" s="63">
        <v>8</v>
      </c>
      <c r="AR55" s="63"/>
      <c r="AS55" s="63"/>
      <c r="AT55" s="63"/>
      <c r="AU55" s="63"/>
      <c r="AV55" s="63"/>
      <c r="AW55" s="63"/>
      <c r="AX55" s="63"/>
      <c r="AY55" s="40"/>
      <c r="AZ55" s="40"/>
      <c r="BA55" s="40"/>
      <c r="BB55" s="180"/>
      <c r="BC55" s="40"/>
      <c r="BD55" s="40"/>
      <c r="BE55" s="40"/>
      <c r="BF55" s="40"/>
      <c r="BG55" s="40"/>
      <c r="BK55" s="40"/>
      <c r="BL55" s="40"/>
      <c r="BM55" s="40"/>
      <c r="BN55" s="40"/>
      <c r="BO55" s="40"/>
      <c r="BP55" s="40"/>
      <c r="BQ55" s="40"/>
      <c r="BR55" s="40"/>
      <c r="BS55" s="40"/>
      <c r="BT55" s="40"/>
    </row>
    <row r="56" spans="6:72" ht="17.100000000000001" customHeight="1" x14ac:dyDescent="0.15">
      <c r="F56" s="54"/>
      <c r="G56" s="54"/>
      <c r="H56" s="54"/>
      <c r="I56" s="40"/>
      <c r="J56" s="40"/>
      <c r="K56" s="52"/>
      <c r="L56" s="40"/>
      <c r="M56" s="54"/>
      <c r="N56" s="54"/>
      <c r="O56" s="40"/>
      <c r="P56" s="40"/>
      <c r="Q56" s="40"/>
      <c r="R56" s="40"/>
      <c r="S56" s="40"/>
      <c r="T56" s="40"/>
      <c r="U56" s="40"/>
      <c r="V56" s="40"/>
      <c r="W56" s="40"/>
      <c r="X56" s="40"/>
      <c r="Y56" s="40"/>
      <c r="Z56" s="40"/>
      <c r="AA56" s="40"/>
      <c r="AB56" s="40"/>
      <c r="AC56" s="40"/>
      <c r="AD56" s="40"/>
      <c r="AE56" s="40"/>
      <c r="AF56" s="40"/>
      <c r="AG56" s="40"/>
      <c r="AH56" s="40"/>
      <c r="AI56" s="40"/>
      <c r="AJ56" s="40"/>
      <c r="AY56" s="40"/>
      <c r="AZ56" s="40"/>
      <c r="BA56" s="40"/>
      <c r="BB56" s="180"/>
      <c r="BC56" s="40"/>
      <c r="BD56" s="40"/>
      <c r="BE56" s="40"/>
      <c r="BF56" s="40"/>
      <c r="BG56" s="40"/>
      <c r="BK56" s="40"/>
      <c r="BL56" s="40"/>
      <c r="BM56" s="40"/>
      <c r="BN56" s="40"/>
      <c r="BO56" s="40"/>
      <c r="BP56" s="40"/>
      <c r="BQ56" s="40"/>
      <c r="BR56" s="40"/>
      <c r="BS56" s="40"/>
      <c r="BT56" s="40"/>
    </row>
    <row r="57" spans="6:72" ht="20.100000000000001" customHeight="1" x14ac:dyDescent="0.15">
      <c r="F57" s="54"/>
      <c r="G57" s="54"/>
      <c r="H57" s="54"/>
      <c r="I57" s="40"/>
      <c r="J57" s="40"/>
      <c r="K57" s="52"/>
      <c r="L57" s="40"/>
      <c r="M57" s="54"/>
      <c r="N57" s="54"/>
      <c r="O57" s="40"/>
      <c r="P57" s="40"/>
      <c r="Q57" s="40"/>
      <c r="R57" s="40"/>
      <c r="S57" s="40"/>
      <c r="T57" s="40"/>
      <c r="U57" s="40"/>
      <c r="V57" s="40"/>
      <c r="W57" s="40"/>
      <c r="X57" s="40"/>
      <c r="Y57" s="40"/>
      <c r="Z57" s="40"/>
      <c r="AA57" s="40"/>
      <c r="AB57" s="40"/>
      <c r="AC57" s="40"/>
      <c r="AD57" s="40"/>
      <c r="AE57" s="40"/>
      <c r="AF57" s="40"/>
      <c r="AG57" s="40"/>
      <c r="AH57" s="40"/>
      <c r="AI57" s="40"/>
      <c r="AJ57" s="40"/>
      <c r="AY57" s="40"/>
      <c r="AZ57" s="40"/>
      <c r="BA57" s="40"/>
      <c r="BB57" s="180"/>
      <c r="BC57" s="40"/>
      <c r="BD57" s="40"/>
      <c r="BE57" s="40"/>
      <c r="BF57" s="40"/>
      <c r="BG57" s="40"/>
      <c r="BK57" s="40"/>
      <c r="BL57" s="40"/>
      <c r="BM57" s="40"/>
      <c r="BN57" s="40"/>
      <c r="BO57" s="40"/>
      <c r="BP57" s="40"/>
      <c r="BQ57" s="40"/>
      <c r="BR57" s="40"/>
      <c r="BS57" s="40"/>
      <c r="BT57" s="40"/>
    </row>
    <row r="58" spans="6:72" ht="20.100000000000001" customHeight="1" x14ac:dyDescent="0.15">
      <c r="F58" s="54"/>
      <c r="G58" s="54"/>
      <c r="H58" s="54"/>
      <c r="I58" s="40"/>
      <c r="J58" s="40"/>
      <c r="K58" s="52"/>
      <c r="L58" s="40"/>
      <c r="M58" s="54"/>
      <c r="N58" s="54"/>
      <c r="O58" s="40"/>
      <c r="P58" s="40"/>
      <c r="Q58" s="40"/>
      <c r="R58" s="40"/>
      <c r="S58" s="40"/>
      <c r="T58" s="40"/>
      <c r="U58" s="40"/>
      <c r="V58" s="40"/>
      <c r="W58" s="40"/>
      <c r="X58" s="40"/>
      <c r="Y58" s="40"/>
      <c r="Z58" s="40"/>
      <c r="AA58" s="40"/>
      <c r="AB58" s="40"/>
      <c r="AC58" s="40"/>
      <c r="AD58" s="40"/>
      <c r="AE58" s="40"/>
      <c r="AF58" s="40"/>
      <c r="AG58" s="40"/>
      <c r="AH58" s="40"/>
      <c r="AI58" s="40"/>
      <c r="AJ58" s="40"/>
      <c r="AK58" s="108" t="s">
        <v>88</v>
      </c>
      <c r="AL58" s="108"/>
      <c r="AM58" s="108"/>
      <c r="AN58" s="109" t="s">
        <v>91</v>
      </c>
      <c r="AZ58" s="40"/>
      <c r="BA58" s="40"/>
      <c r="BB58" s="180"/>
      <c r="BC58" s="40"/>
      <c r="BD58" s="40"/>
      <c r="BE58" s="40"/>
      <c r="BF58" s="40"/>
      <c r="BG58" s="40"/>
      <c r="BK58" s="40"/>
      <c r="BL58" s="40"/>
      <c r="BM58" s="40"/>
      <c r="BN58" s="40"/>
      <c r="BO58" s="40"/>
      <c r="BP58" s="40"/>
      <c r="BQ58" s="40"/>
      <c r="BR58" s="40"/>
      <c r="BS58" s="40"/>
      <c r="BT58" s="40"/>
    </row>
    <row r="59" spans="6:72" ht="20.100000000000001" customHeight="1" x14ac:dyDescent="0.15">
      <c r="F59" s="54"/>
      <c r="G59" s="54"/>
      <c r="H59" s="54"/>
      <c r="I59" s="40"/>
      <c r="J59" s="40"/>
      <c r="K59" s="52"/>
      <c r="L59" s="40"/>
      <c r="M59" s="54"/>
      <c r="N59" s="54"/>
      <c r="O59" s="40"/>
      <c r="P59" s="40"/>
      <c r="Q59" s="40"/>
      <c r="R59" s="40"/>
      <c r="S59" s="40"/>
      <c r="T59" s="40"/>
      <c r="U59" s="40"/>
      <c r="V59" s="40"/>
      <c r="W59" s="40"/>
      <c r="X59" s="40"/>
      <c r="Y59" s="40"/>
      <c r="Z59" s="40"/>
      <c r="AA59" s="40"/>
      <c r="AB59" s="40"/>
      <c r="AC59" s="40"/>
      <c r="AD59" s="40"/>
      <c r="AE59" s="40"/>
      <c r="AF59" s="40"/>
      <c r="AG59" s="40"/>
      <c r="AH59" s="40"/>
      <c r="AI59" s="40"/>
      <c r="AJ59" s="40"/>
      <c r="AK59" s="57" t="s">
        <v>75</v>
      </c>
      <c r="AL59" s="58">
        <v>13</v>
      </c>
      <c r="AM59" s="58">
        <v>20</v>
      </c>
      <c r="AN59" s="58">
        <v>25</v>
      </c>
      <c r="AO59" s="58">
        <v>30</v>
      </c>
      <c r="AP59" s="58">
        <v>40</v>
      </c>
      <c r="AQ59" s="58">
        <v>50</v>
      </c>
      <c r="AR59" s="58"/>
      <c r="AS59" s="58"/>
      <c r="AT59" s="58"/>
      <c r="AU59" s="58"/>
      <c r="AV59" s="58"/>
      <c r="AW59" s="58"/>
      <c r="AX59" s="58"/>
      <c r="AZ59" s="40"/>
      <c r="BA59" s="40"/>
      <c r="BB59" s="180"/>
      <c r="BC59" s="40"/>
      <c r="BD59" s="40"/>
      <c r="BE59" s="40"/>
      <c r="BF59" s="40"/>
      <c r="BG59" s="40"/>
      <c r="BK59" s="40"/>
      <c r="BL59" s="40"/>
      <c r="BM59" s="40"/>
      <c r="BN59" s="40"/>
      <c r="BO59" s="40"/>
      <c r="BP59" s="40"/>
      <c r="BQ59" s="40"/>
      <c r="BR59" s="40"/>
      <c r="BS59" s="40"/>
      <c r="BT59" s="40"/>
    </row>
    <row r="60" spans="6:72" ht="20.100000000000001" customHeight="1" x14ac:dyDescent="0.15">
      <c r="F60" s="52"/>
      <c r="G60" s="52"/>
      <c r="H60" s="161"/>
      <c r="I60" s="123"/>
      <c r="J60" s="52"/>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57" t="s">
        <v>76</v>
      </c>
      <c r="AL60" s="63">
        <v>1.45</v>
      </c>
      <c r="AM60" s="63">
        <v>1.9</v>
      </c>
      <c r="AN60" s="63">
        <v>2.4</v>
      </c>
      <c r="AO60" s="63">
        <v>3.08</v>
      </c>
      <c r="AP60" s="63">
        <v>3.5</v>
      </c>
      <c r="AQ60" s="63">
        <v>4.4000000000000004</v>
      </c>
      <c r="AR60" s="63"/>
      <c r="AS60" s="63"/>
      <c r="AT60" s="63"/>
      <c r="AU60" s="63"/>
      <c r="AV60" s="63"/>
      <c r="AW60" s="63"/>
      <c r="AX60" s="63"/>
      <c r="AZ60" s="40"/>
      <c r="BA60" s="40"/>
      <c r="BB60" s="180"/>
      <c r="BC60" s="40"/>
      <c r="BD60" s="40"/>
      <c r="BE60" s="40"/>
      <c r="BF60" s="40"/>
      <c r="BG60" s="40"/>
      <c r="BK60" s="40"/>
      <c r="BL60" s="40"/>
      <c r="BM60" s="40"/>
      <c r="BN60" s="40"/>
      <c r="BO60" s="40"/>
      <c r="BP60" s="40"/>
      <c r="BQ60" s="40"/>
      <c r="BR60" s="40"/>
      <c r="BS60" s="40"/>
      <c r="BT60" s="40"/>
    </row>
    <row r="61" spans="6:72" ht="20.100000000000001" customHeight="1" x14ac:dyDescent="0.15">
      <c r="F61" s="52"/>
      <c r="G61" s="52"/>
      <c r="H61" s="161"/>
      <c r="I61" s="123"/>
      <c r="J61" s="5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57" t="s">
        <v>4</v>
      </c>
      <c r="AL61" s="63">
        <v>0.6</v>
      </c>
      <c r="AM61" s="63">
        <v>0.75</v>
      </c>
      <c r="AN61" s="63">
        <v>0.9</v>
      </c>
      <c r="AO61" s="63">
        <v>1.2</v>
      </c>
      <c r="AP61" s="63">
        <v>1.5</v>
      </c>
      <c r="AQ61" s="63">
        <v>2.1</v>
      </c>
      <c r="AR61" s="63"/>
      <c r="AS61" s="63"/>
      <c r="AT61" s="63"/>
      <c r="AU61" s="63"/>
      <c r="AV61" s="63"/>
      <c r="AW61" s="63"/>
      <c r="AX61" s="63"/>
      <c r="AZ61" s="40"/>
      <c r="BA61" s="40"/>
      <c r="BB61" s="180"/>
      <c r="BC61" s="40"/>
      <c r="BD61" s="40"/>
      <c r="BE61" s="40"/>
      <c r="BF61" s="40"/>
      <c r="BG61" s="40"/>
      <c r="BK61" s="40"/>
      <c r="BL61" s="40"/>
      <c r="BM61" s="40"/>
      <c r="BN61" s="40"/>
      <c r="BO61" s="40"/>
      <c r="BP61" s="40"/>
      <c r="BQ61" s="40"/>
      <c r="BR61" s="40"/>
      <c r="BS61" s="40"/>
      <c r="BT61" s="40"/>
    </row>
    <row r="62" spans="6:72" ht="20.100000000000001" customHeight="1" x14ac:dyDescent="0.15">
      <c r="F62" s="52"/>
      <c r="G62" s="52"/>
      <c r="H62" s="161"/>
      <c r="I62" s="123"/>
      <c r="J62" s="5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57" t="s">
        <v>38</v>
      </c>
      <c r="AL62" s="63">
        <v>0.18</v>
      </c>
      <c r="AM62" s="63">
        <v>0.24</v>
      </c>
      <c r="AN62" s="63">
        <v>0.27</v>
      </c>
      <c r="AO62" s="63">
        <v>0.36</v>
      </c>
      <c r="AP62" s="63">
        <v>0.45</v>
      </c>
      <c r="AQ62" s="63">
        <v>0.6</v>
      </c>
      <c r="AR62" s="63"/>
      <c r="AS62" s="63"/>
      <c r="AT62" s="63"/>
      <c r="AU62" s="63"/>
      <c r="AV62" s="63"/>
      <c r="AW62" s="63"/>
      <c r="AX62" s="63"/>
      <c r="BG62" s="40"/>
      <c r="BK62" s="40"/>
      <c r="BL62" s="40"/>
      <c r="BM62" s="40"/>
      <c r="BN62" s="40"/>
      <c r="BO62" s="40"/>
      <c r="BP62" s="40"/>
      <c r="BQ62" s="40"/>
      <c r="BR62" s="40"/>
      <c r="BS62" s="40"/>
      <c r="BT62" s="40"/>
    </row>
    <row r="63" spans="6:72" ht="20.100000000000001" customHeight="1" x14ac:dyDescent="0.15">
      <c r="L63" s="52"/>
      <c r="M63" s="52"/>
      <c r="N63" s="161"/>
      <c r="O63" s="123"/>
      <c r="P63" s="52"/>
      <c r="Q63" s="40"/>
      <c r="R63" s="123"/>
      <c r="AJ63" s="40"/>
      <c r="AK63" s="57" t="s">
        <v>5</v>
      </c>
      <c r="AL63" s="63">
        <v>0.9</v>
      </c>
      <c r="AM63" s="63">
        <v>1.2</v>
      </c>
      <c r="AN63" s="63">
        <v>1.5</v>
      </c>
      <c r="AO63" s="63">
        <v>1.8</v>
      </c>
      <c r="AP63" s="63">
        <v>2.1</v>
      </c>
      <c r="AQ63" s="63">
        <v>3</v>
      </c>
      <c r="AR63" s="63"/>
      <c r="AS63" s="63"/>
      <c r="AT63" s="63"/>
      <c r="AU63" s="63"/>
      <c r="AV63" s="63"/>
      <c r="AW63" s="63"/>
      <c r="AX63" s="63"/>
      <c r="BG63" s="40"/>
      <c r="BK63" s="40"/>
      <c r="BL63" s="40"/>
      <c r="BM63" s="40"/>
      <c r="BN63" s="40"/>
      <c r="BO63" s="40"/>
      <c r="BP63" s="40"/>
      <c r="BQ63" s="40"/>
      <c r="BR63" s="40"/>
      <c r="BS63" s="40"/>
      <c r="BT63" s="40"/>
    </row>
    <row r="64" spans="6:72" ht="25.5" customHeight="1" x14ac:dyDescent="0.15">
      <c r="F64" s="412" t="s">
        <v>220</v>
      </c>
      <c r="G64" s="413"/>
      <c r="H64" s="413"/>
      <c r="I64" s="413"/>
      <c r="J64" s="413"/>
      <c r="K64" s="413"/>
      <c r="L64" s="413"/>
      <c r="M64" s="414"/>
      <c r="N64" s="1"/>
      <c r="AJ64" s="40"/>
      <c r="AK64" s="57" t="s">
        <v>6</v>
      </c>
      <c r="AL64" s="63">
        <v>0.12</v>
      </c>
      <c r="AM64" s="63">
        <v>0.15</v>
      </c>
      <c r="AN64" s="63">
        <v>0.18</v>
      </c>
      <c r="AO64" s="63">
        <v>0.24</v>
      </c>
      <c r="AP64" s="63">
        <v>0.3</v>
      </c>
      <c r="AQ64" s="63">
        <v>0.39</v>
      </c>
      <c r="AR64" s="63"/>
      <c r="AS64" s="63"/>
      <c r="AT64" s="63"/>
      <c r="AU64" s="63"/>
      <c r="AV64" s="63"/>
      <c r="AW64" s="63"/>
      <c r="AX64" s="63"/>
      <c r="BG64" s="40"/>
      <c r="BK64" s="40"/>
      <c r="BL64" s="40"/>
      <c r="BM64" s="40"/>
      <c r="BN64" s="40"/>
      <c r="BO64" s="40"/>
      <c r="BP64" s="40"/>
      <c r="BQ64" s="40"/>
      <c r="BR64" s="40"/>
      <c r="BS64" s="40"/>
      <c r="BT64" s="40"/>
    </row>
    <row r="65" spans="6:72" ht="12.75" customHeight="1" x14ac:dyDescent="0.15">
      <c r="AJ65" s="40"/>
      <c r="AK65" s="57" t="s">
        <v>41</v>
      </c>
      <c r="AL65" s="63">
        <v>1.2</v>
      </c>
      <c r="AM65" s="63">
        <v>1.6</v>
      </c>
      <c r="AN65" s="63">
        <v>2</v>
      </c>
      <c r="AO65" s="63">
        <v>2.5</v>
      </c>
      <c r="AP65" s="63">
        <v>3.1</v>
      </c>
      <c r="AQ65" s="63">
        <v>4</v>
      </c>
      <c r="AR65" s="63"/>
      <c r="AS65" s="63"/>
      <c r="AT65" s="63"/>
      <c r="AU65" s="63"/>
      <c r="AV65" s="63"/>
      <c r="AW65" s="63"/>
      <c r="AX65" s="63"/>
      <c r="BG65" s="40"/>
      <c r="BK65" s="40"/>
      <c r="BL65" s="40"/>
      <c r="BM65" s="40"/>
      <c r="BN65" s="40"/>
      <c r="BO65" s="40"/>
      <c r="BP65" s="40"/>
      <c r="BQ65" s="40"/>
      <c r="BR65" s="40"/>
      <c r="BS65" s="40"/>
      <c r="BT65" s="40"/>
    </row>
    <row r="66" spans="6:72" ht="19.5" customHeight="1" x14ac:dyDescent="0.15">
      <c r="F66" s="409" t="s">
        <v>0</v>
      </c>
      <c r="G66" s="415"/>
      <c r="H66" s="416"/>
      <c r="I66" s="417" t="s">
        <v>188</v>
      </c>
      <c r="J66" s="418"/>
      <c r="K66" s="418"/>
      <c r="L66" s="419"/>
      <c r="M66" s="40"/>
      <c r="N66" s="334" t="s">
        <v>1</v>
      </c>
      <c r="O66" s="420" t="s">
        <v>241</v>
      </c>
      <c r="P66" s="421"/>
      <c r="Q66" s="422"/>
      <c r="R66" s="336"/>
      <c r="S66" s="334" t="s">
        <v>2</v>
      </c>
      <c r="T66" s="410">
        <v>41876</v>
      </c>
      <c r="U66" s="427"/>
      <c r="V66" s="40"/>
      <c r="W66" s="334" t="s">
        <v>44</v>
      </c>
      <c r="X66" s="428" t="s">
        <v>189</v>
      </c>
      <c r="Y66" s="429"/>
      <c r="Z66" s="430"/>
      <c r="AA66" s="54"/>
      <c r="AB66" s="54"/>
      <c r="AJ66" s="40"/>
      <c r="AK66" s="57" t="s">
        <v>42</v>
      </c>
      <c r="AL66" s="63">
        <v>1.38</v>
      </c>
      <c r="AM66" s="63">
        <v>2.1800000000000002</v>
      </c>
      <c r="AN66" s="63">
        <v>3</v>
      </c>
      <c r="AO66" s="63">
        <v>4.62</v>
      </c>
      <c r="AP66" s="63">
        <v>5.47</v>
      </c>
      <c r="AQ66" s="63">
        <v>8</v>
      </c>
      <c r="AR66" s="63"/>
      <c r="AS66" s="63"/>
      <c r="AT66" s="63"/>
      <c r="AU66" s="63"/>
      <c r="AV66" s="63"/>
      <c r="AW66" s="63"/>
      <c r="AX66" s="63"/>
      <c r="BG66" s="40"/>
      <c r="BK66" s="40"/>
      <c r="BL66" s="40"/>
      <c r="BM66" s="40"/>
      <c r="BN66" s="40"/>
      <c r="BO66" s="40"/>
      <c r="BP66" s="40"/>
      <c r="BQ66" s="40"/>
      <c r="BR66" s="40"/>
      <c r="BS66" s="40"/>
      <c r="BT66" s="40"/>
    </row>
    <row r="67" spans="6:72" ht="11.25" customHeight="1" x14ac:dyDescent="0.15">
      <c r="F67" s="40"/>
      <c r="G67" s="40"/>
      <c r="H67" s="40"/>
      <c r="I67" s="40"/>
      <c r="J67" s="40"/>
      <c r="K67" s="40"/>
      <c r="L67" s="40"/>
      <c r="M67" s="40"/>
      <c r="N67" s="40"/>
      <c r="O67" s="40"/>
      <c r="P67" s="40"/>
      <c r="Q67" s="40"/>
      <c r="R67" s="40"/>
      <c r="S67" s="40"/>
      <c r="T67" s="40"/>
      <c r="U67" s="40"/>
      <c r="V67" s="40"/>
      <c r="W67" s="40"/>
      <c r="X67" s="40"/>
      <c r="Y67" s="40"/>
      <c r="Z67" s="40"/>
      <c r="AA67" s="40"/>
      <c r="AB67" s="40"/>
      <c r="AJ67" s="40"/>
      <c r="BG67" s="40"/>
      <c r="BK67" s="40"/>
      <c r="BL67" s="40"/>
      <c r="BM67" s="40"/>
      <c r="BN67" s="40"/>
      <c r="BO67" s="40"/>
      <c r="BP67" s="40"/>
      <c r="BQ67" s="40"/>
      <c r="BR67" s="40"/>
      <c r="BS67" s="40"/>
      <c r="BT67" s="40"/>
    </row>
    <row r="68" spans="6:72" ht="20.100000000000001" customHeight="1" x14ac:dyDescent="0.15">
      <c r="F68" s="409" t="s">
        <v>3</v>
      </c>
      <c r="G68" s="415"/>
      <c r="H68" s="416"/>
      <c r="I68" s="167">
        <v>4</v>
      </c>
      <c r="J68" s="60"/>
      <c r="K68" s="61" t="s">
        <v>37</v>
      </c>
      <c r="L68" s="131" t="s">
        <v>190</v>
      </c>
      <c r="M68" s="40"/>
      <c r="N68" s="40"/>
      <c r="O68" s="40"/>
      <c r="P68" s="40"/>
      <c r="Q68" s="40"/>
      <c r="R68" s="40"/>
      <c r="S68" s="40"/>
      <c r="T68" s="40"/>
      <c r="U68" s="40"/>
      <c r="V68" s="40"/>
      <c r="W68" s="40"/>
      <c r="X68" s="40"/>
      <c r="Y68" s="40"/>
      <c r="Z68" s="88"/>
      <c r="AA68" s="40"/>
      <c r="AB68" s="40"/>
      <c r="AJ68" s="40"/>
      <c r="AK68" s="105" t="s">
        <v>77</v>
      </c>
      <c r="BG68" s="40"/>
    </row>
    <row r="69" spans="6:72" ht="13.5" customHeight="1" x14ac:dyDescent="0.15">
      <c r="F69" s="40"/>
      <c r="G69" s="40"/>
      <c r="H69" s="40"/>
      <c r="I69" s="40"/>
      <c r="J69" s="40"/>
      <c r="K69" s="40"/>
      <c r="L69" s="40"/>
      <c r="M69" s="40"/>
      <c r="N69" s="40"/>
      <c r="O69" s="40"/>
      <c r="P69" s="40"/>
      <c r="Q69" s="40"/>
      <c r="R69" s="40"/>
      <c r="S69" s="40"/>
      <c r="T69" s="40"/>
      <c r="U69" s="40"/>
      <c r="V69" s="40"/>
      <c r="W69" s="40"/>
      <c r="X69" s="40"/>
      <c r="Y69" s="40"/>
      <c r="Z69" s="40"/>
      <c r="AA69" s="40"/>
      <c r="AB69" s="40"/>
      <c r="AJ69" s="40"/>
      <c r="AK69" s="102" t="s">
        <v>74</v>
      </c>
      <c r="AL69" s="102">
        <v>13</v>
      </c>
      <c r="AM69" s="102">
        <v>20</v>
      </c>
      <c r="AN69" s="102">
        <v>25</v>
      </c>
      <c r="AO69" s="102">
        <v>30</v>
      </c>
      <c r="AP69" s="102">
        <v>40</v>
      </c>
      <c r="AQ69" s="102">
        <v>50</v>
      </c>
      <c r="BG69" s="40"/>
    </row>
    <row r="70" spans="6:72" ht="14.25" customHeight="1" thickBot="1" x14ac:dyDescent="0.2">
      <c r="F70" s="40"/>
      <c r="G70" s="40"/>
      <c r="H70" s="40"/>
      <c r="I70" s="40"/>
      <c r="J70" s="40"/>
      <c r="K70" s="40"/>
      <c r="L70" s="40"/>
      <c r="M70" s="40"/>
      <c r="N70" s="40"/>
      <c r="O70" s="40"/>
      <c r="P70" s="40"/>
      <c r="Q70" s="40"/>
      <c r="R70" s="40"/>
      <c r="S70" s="40"/>
      <c r="T70" s="40"/>
      <c r="U70" s="40"/>
      <c r="V70" s="40"/>
      <c r="W70" s="40"/>
      <c r="X70" s="40"/>
      <c r="Y70" s="40"/>
      <c r="Z70" s="40"/>
      <c r="AA70" s="40"/>
      <c r="AB70" s="40"/>
      <c r="AJ70" s="40"/>
      <c r="AK70" s="102" t="s">
        <v>67</v>
      </c>
      <c r="AL70" s="103">
        <v>3.3</v>
      </c>
      <c r="AM70" s="103">
        <v>6.5</v>
      </c>
      <c r="AN70" s="103">
        <v>21.1</v>
      </c>
      <c r="AO70" s="103">
        <v>14.3</v>
      </c>
      <c r="AP70" s="103">
        <v>15</v>
      </c>
      <c r="AQ70" s="103">
        <v>12.6</v>
      </c>
      <c r="BG70" s="40"/>
    </row>
    <row r="71" spans="6:72" ht="19.5" customHeight="1" thickBot="1" x14ac:dyDescent="0.2">
      <c r="F71" s="234"/>
      <c r="G71" s="40"/>
      <c r="H71" s="64" t="s">
        <v>45</v>
      </c>
      <c r="I71" s="53"/>
      <c r="J71" s="40"/>
      <c r="K71" s="334" t="s">
        <v>7</v>
      </c>
      <c r="L71" s="65" t="s">
        <v>8</v>
      </c>
      <c r="M71" s="66" t="s">
        <v>9</v>
      </c>
      <c r="N71" s="66"/>
      <c r="O71" s="64" t="s">
        <v>10</v>
      </c>
      <c r="P71" s="66"/>
      <c r="Q71" s="66"/>
      <c r="R71" s="66"/>
      <c r="S71" s="66"/>
      <c r="T71" s="66"/>
      <c r="U71" s="64" t="s">
        <v>11</v>
      </c>
      <c r="V71" s="66"/>
      <c r="W71" s="66"/>
      <c r="X71" s="66"/>
      <c r="Y71" s="66"/>
      <c r="Z71" s="53"/>
      <c r="AA71" s="40"/>
      <c r="AB71" s="404" t="s">
        <v>55</v>
      </c>
      <c r="AJ71" s="40"/>
      <c r="AK71" s="102" t="s">
        <v>68</v>
      </c>
      <c r="AL71" s="103">
        <v>2</v>
      </c>
      <c r="AM71" s="103">
        <v>5</v>
      </c>
      <c r="AN71" s="103">
        <v>5.0999999999999996</v>
      </c>
      <c r="AO71" s="103">
        <v>0.8</v>
      </c>
      <c r="AP71" s="103">
        <v>2.8</v>
      </c>
      <c r="AQ71" s="103">
        <v>1.6</v>
      </c>
      <c r="BG71" s="40"/>
    </row>
    <row r="72" spans="6:72" ht="19.5" customHeight="1" x14ac:dyDescent="0.15">
      <c r="F72" s="235"/>
      <c r="G72" s="40"/>
      <c r="H72" s="68" t="s">
        <v>46</v>
      </c>
      <c r="I72" s="334" t="s">
        <v>47</v>
      </c>
      <c r="J72" s="40"/>
      <c r="K72" s="334" t="s">
        <v>36</v>
      </c>
      <c r="L72" s="65" t="s">
        <v>12</v>
      </c>
      <c r="M72" s="333" t="s">
        <v>48</v>
      </c>
      <c r="N72" s="69" t="s">
        <v>13</v>
      </c>
      <c r="O72" s="333" t="s">
        <v>14</v>
      </c>
      <c r="P72" s="334" t="s">
        <v>15</v>
      </c>
      <c r="Q72" s="333" t="s">
        <v>16</v>
      </c>
      <c r="R72" s="334" t="s">
        <v>17</v>
      </c>
      <c r="S72" s="333" t="s">
        <v>18</v>
      </c>
      <c r="T72" s="69" t="s">
        <v>13</v>
      </c>
      <c r="U72" s="333" t="s">
        <v>19</v>
      </c>
      <c r="V72" s="334" t="s">
        <v>15</v>
      </c>
      <c r="W72" s="70" t="s">
        <v>16</v>
      </c>
      <c r="X72" s="334" t="s">
        <v>17</v>
      </c>
      <c r="Y72" s="333" t="s">
        <v>18</v>
      </c>
      <c r="Z72" s="69" t="s">
        <v>13</v>
      </c>
      <c r="AA72" s="336"/>
      <c r="AB72" s="405"/>
      <c r="AJ72" s="40"/>
      <c r="AK72" s="102" t="s">
        <v>69</v>
      </c>
      <c r="AL72" s="103">
        <v>2.1</v>
      </c>
      <c r="AM72" s="103">
        <v>3.1</v>
      </c>
      <c r="AN72" s="103">
        <v>7.3</v>
      </c>
      <c r="AO72" s="103">
        <v>3.2</v>
      </c>
      <c r="AP72" s="103">
        <v>4.7</v>
      </c>
      <c r="AQ72" s="103">
        <v>6.3</v>
      </c>
      <c r="BG72" s="40"/>
    </row>
    <row r="73" spans="6:72" ht="14.25" customHeight="1" x14ac:dyDescent="0.15">
      <c r="F73" s="235" t="s">
        <v>21</v>
      </c>
      <c r="G73" s="40"/>
      <c r="H73" s="168">
        <v>1</v>
      </c>
      <c r="I73" s="189" t="s">
        <v>94</v>
      </c>
      <c r="J73" s="40"/>
      <c r="K73" s="73"/>
      <c r="L73" s="74"/>
      <c r="M73" s="75"/>
      <c r="N73" s="76"/>
      <c r="O73" s="77" t="s">
        <v>191</v>
      </c>
      <c r="P73" s="173">
        <v>1</v>
      </c>
      <c r="Q73" s="78">
        <v>0.5</v>
      </c>
      <c r="R73" s="79">
        <v>0.5</v>
      </c>
      <c r="S73" s="80"/>
      <c r="T73" s="81">
        <v>0</v>
      </c>
      <c r="U73" s="239"/>
      <c r="V73" s="174"/>
      <c r="W73" s="79">
        <v>0</v>
      </c>
      <c r="X73" s="82">
        <v>0</v>
      </c>
      <c r="Y73" s="83"/>
      <c r="Z73" s="84">
        <v>0</v>
      </c>
      <c r="AA73" s="40"/>
      <c r="AB73" s="85"/>
      <c r="AJ73" s="40"/>
      <c r="AK73" s="102" t="s">
        <v>65</v>
      </c>
      <c r="AL73" s="103"/>
      <c r="AM73" s="103">
        <v>11</v>
      </c>
      <c r="AN73" s="103">
        <v>0</v>
      </c>
      <c r="AO73" s="103"/>
      <c r="AP73" s="103"/>
      <c r="AQ73" s="103"/>
      <c r="BG73" s="40"/>
    </row>
    <row r="74" spans="6:72" ht="14.25" customHeight="1" x14ac:dyDescent="0.15">
      <c r="F74" s="235"/>
      <c r="G74" s="40"/>
      <c r="H74" s="186" t="s">
        <v>192</v>
      </c>
      <c r="I74" s="170">
        <v>20</v>
      </c>
      <c r="J74" s="40"/>
      <c r="K74" s="141">
        <v>20</v>
      </c>
      <c r="L74" s="74">
        <v>7.8700000000000006E-2</v>
      </c>
      <c r="M74" s="172">
        <v>1.4</v>
      </c>
      <c r="N74" s="84">
        <v>0.12</v>
      </c>
      <c r="O74" s="87" t="s">
        <v>193</v>
      </c>
      <c r="P74" s="174"/>
      <c r="Q74" s="88">
        <v>0</v>
      </c>
      <c r="R74" s="82">
        <v>0</v>
      </c>
      <c r="S74" s="83">
        <v>1</v>
      </c>
      <c r="T74" s="84">
        <v>0.08</v>
      </c>
      <c r="U74" s="177"/>
      <c r="V74" s="174"/>
      <c r="W74" s="82">
        <v>0</v>
      </c>
      <c r="X74" s="82">
        <v>0</v>
      </c>
      <c r="Y74" s="83">
        <v>0</v>
      </c>
      <c r="Z74" s="84">
        <v>0</v>
      </c>
      <c r="AA74" s="40"/>
      <c r="AB74" s="84">
        <v>0.2</v>
      </c>
      <c r="BG74" s="40"/>
    </row>
    <row r="75" spans="6:72" ht="14.25" customHeight="1" x14ac:dyDescent="0.15">
      <c r="F75" s="235"/>
      <c r="G75" s="40"/>
      <c r="H75" s="187"/>
      <c r="I75" s="91">
        <v>2</v>
      </c>
      <c r="J75" s="40"/>
      <c r="K75" s="73"/>
      <c r="L75" s="74"/>
      <c r="M75" s="75"/>
      <c r="N75" s="76"/>
      <c r="O75" s="87" t="s">
        <v>194</v>
      </c>
      <c r="P75" s="174">
        <v>1</v>
      </c>
      <c r="Q75" s="88">
        <v>0.5</v>
      </c>
      <c r="R75" s="82">
        <v>0.5</v>
      </c>
      <c r="S75" s="83"/>
      <c r="T75" s="84"/>
      <c r="U75" s="178"/>
      <c r="V75" s="174"/>
      <c r="W75" s="82">
        <v>0</v>
      </c>
      <c r="X75" s="82">
        <v>0</v>
      </c>
      <c r="Y75" s="83"/>
      <c r="Z75" s="92">
        <v>0</v>
      </c>
      <c r="AA75" s="40"/>
      <c r="AB75" s="93"/>
      <c r="AK75" s="105" t="s">
        <v>78</v>
      </c>
      <c r="BG75" s="40"/>
    </row>
    <row r="76" spans="6:72" ht="14.25" customHeight="1" x14ac:dyDescent="0.15">
      <c r="F76" s="235" t="s">
        <v>22</v>
      </c>
      <c r="G76" s="40"/>
      <c r="H76" s="168">
        <v>2</v>
      </c>
      <c r="I76" s="189" t="s">
        <v>94</v>
      </c>
      <c r="J76" s="40"/>
      <c r="K76" s="94"/>
      <c r="L76" s="95"/>
      <c r="M76" s="96"/>
      <c r="N76" s="85"/>
      <c r="O76" s="77" t="s">
        <v>191</v>
      </c>
      <c r="P76" s="173"/>
      <c r="Q76" s="78">
        <v>0.5</v>
      </c>
      <c r="R76" s="79">
        <v>0</v>
      </c>
      <c r="S76" s="80"/>
      <c r="T76" s="81">
        <v>0</v>
      </c>
      <c r="U76" s="176"/>
      <c r="V76" s="173"/>
      <c r="W76" s="79">
        <v>0</v>
      </c>
      <c r="X76" s="79">
        <v>0</v>
      </c>
      <c r="Y76" s="80"/>
      <c r="Z76" s="84">
        <v>0</v>
      </c>
      <c r="AA76" s="40"/>
      <c r="AB76" s="76"/>
      <c r="AK76" s="102" t="s">
        <v>71</v>
      </c>
      <c r="AL76" s="102">
        <v>9.9999999999999994E-12</v>
      </c>
      <c r="AM76" s="102">
        <v>15.000000000000099</v>
      </c>
      <c r="AN76" s="102">
        <v>20.000000000000099</v>
      </c>
      <c r="AO76" s="102">
        <v>25.000000000000099</v>
      </c>
      <c r="AP76" s="102">
        <v>30.000000000000099</v>
      </c>
      <c r="AQ76" s="102">
        <v>35.000000000000099</v>
      </c>
      <c r="AR76" s="102">
        <v>40.000000000000099</v>
      </c>
      <c r="AS76" s="102">
        <v>45.000000000000099</v>
      </c>
      <c r="AT76" s="102">
        <v>50.000000000000099</v>
      </c>
      <c r="AU76" s="102">
        <v>55.000000000000099</v>
      </c>
      <c r="AV76" s="102">
        <v>60.000000000000099</v>
      </c>
      <c r="AW76" s="102">
        <v>65.000000000000099</v>
      </c>
      <c r="AX76" s="102">
        <v>70.000000000000099</v>
      </c>
      <c r="AY76" s="102">
        <v>75.000000000000099</v>
      </c>
      <c r="AZ76" s="102">
        <v>80.000000000000099</v>
      </c>
      <c r="BA76" s="102">
        <v>85.000000000000099</v>
      </c>
      <c r="BB76" s="102">
        <v>90.000000000000099</v>
      </c>
      <c r="BC76" s="102">
        <v>95.000000000000099</v>
      </c>
      <c r="BD76" s="102">
        <v>100.0000000000001</v>
      </c>
      <c r="BE76" s="102">
        <v>105.0000000000001</v>
      </c>
      <c r="BF76" s="102">
        <v>110.0000000000001</v>
      </c>
      <c r="BG76" s="102">
        <v>115.0000000000001</v>
      </c>
      <c r="BH76" s="102">
        <v>120.0000000000001</v>
      </c>
      <c r="BI76" s="102">
        <v>125.0000000000001</v>
      </c>
      <c r="BJ76" s="102">
        <v>130.00000000000011</v>
      </c>
      <c r="BK76" s="102">
        <v>135.00000000000011</v>
      </c>
      <c r="BL76" s="102">
        <v>140.00000000000011</v>
      </c>
      <c r="BM76" s="102">
        <v>150.00000000000011</v>
      </c>
      <c r="BN76" s="102">
        <v>160.00000000000011</v>
      </c>
      <c r="BO76" s="102">
        <v>170.00000000000011</v>
      </c>
      <c r="BP76" s="102">
        <v>180.00000000000011</v>
      </c>
      <c r="BQ76" s="102">
        <v>190.00000009999999</v>
      </c>
    </row>
    <row r="77" spans="6:72" ht="14.25" customHeight="1" x14ac:dyDescent="0.15">
      <c r="F77" s="235"/>
      <c r="G77" s="40"/>
      <c r="H77" s="186" t="s">
        <v>195</v>
      </c>
      <c r="I77" s="170">
        <v>25</v>
      </c>
      <c r="J77" s="40"/>
      <c r="K77" s="171">
        <v>40</v>
      </c>
      <c r="L77" s="74">
        <v>0.26479999999999998</v>
      </c>
      <c r="M77" s="172">
        <v>2.7</v>
      </c>
      <c r="N77" s="84">
        <f>ROUNDUP(L77*M77,2)</f>
        <v>0.72</v>
      </c>
      <c r="O77" s="87" t="s">
        <v>193</v>
      </c>
      <c r="P77" s="174"/>
      <c r="Q77" s="88">
        <v>0</v>
      </c>
      <c r="R77" s="82">
        <v>0</v>
      </c>
      <c r="S77" s="83">
        <v>0.5</v>
      </c>
      <c r="T77" s="84">
        <f>ROUNDUP(L77*S77,2)</f>
        <v>0.14000000000000001</v>
      </c>
      <c r="U77" s="177"/>
      <c r="V77" s="174"/>
      <c r="W77" s="82">
        <v>0</v>
      </c>
      <c r="X77" s="82">
        <v>0</v>
      </c>
      <c r="Y77" s="83">
        <v>0</v>
      </c>
      <c r="Z77" s="84">
        <v>0</v>
      </c>
      <c r="AA77" s="40"/>
      <c r="AB77" s="84">
        <f>N77+T77</f>
        <v>0.86</v>
      </c>
      <c r="AK77" s="102" t="s">
        <v>72</v>
      </c>
      <c r="AL77" s="184">
        <v>0.1</v>
      </c>
      <c r="AM77" s="184">
        <v>0.1</v>
      </c>
      <c r="AN77" s="184">
        <v>0.1</v>
      </c>
      <c r="AO77" s="184">
        <v>0.1</v>
      </c>
      <c r="AP77" s="184">
        <v>0.11</v>
      </c>
      <c r="AQ77" s="184">
        <v>0.13</v>
      </c>
      <c r="AR77" s="184">
        <v>0.16</v>
      </c>
      <c r="AS77" s="184">
        <v>0.19</v>
      </c>
      <c r="AT77" s="184">
        <v>0.23</v>
      </c>
      <c r="AU77" s="184">
        <v>0.27</v>
      </c>
      <c r="AV77" s="184">
        <v>0.32</v>
      </c>
      <c r="AW77" s="184">
        <v>0.37</v>
      </c>
      <c r="AX77" s="184">
        <v>0.43</v>
      </c>
      <c r="AY77" s="184">
        <v>0.5</v>
      </c>
      <c r="AZ77" s="184">
        <v>0.57000000000000006</v>
      </c>
      <c r="BA77" s="184">
        <v>0.65</v>
      </c>
      <c r="BB77" s="184">
        <v>0.74</v>
      </c>
      <c r="BC77" s="184">
        <v>0.83</v>
      </c>
      <c r="BD77" s="184">
        <v>0.93</v>
      </c>
      <c r="BE77" s="184">
        <v>1.04</v>
      </c>
      <c r="BF77" s="184">
        <v>1.1499999999999999</v>
      </c>
      <c r="BG77" s="184">
        <v>1.27</v>
      </c>
      <c r="BH77" s="184">
        <v>1.4</v>
      </c>
      <c r="BI77" s="184">
        <v>1.53</v>
      </c>
      <c r="BJ77" s="184">
        <v>1.67</v>
      </c>
      <c r="BK77" s="184">
        <v>1.82</v>
      </c>
      <c r="BL77" s="184">
        <v>2.1399999999999997</v>
      </c>
      <c r="BM77" s="184">
        <v>2.4899999999999998</v>
      </c>
      <c r="BN77" s="184">
        <v>2.86</v>
      </c>
      <c r="BO77" s="184">
        <v>3.28</v>
      </c>
      <c r="BP77" s="184">
        <v>3.72</v>
      </c>
      <c r="BQ77" s="184" t="s">
        <v>85</v>
      </c>
    </row>
    <row r="78" spans="6:72" ht="14.25" customHeight="1" x14ac:dyDescent="0.15">
      <c r="F78" s="235"/>
      <c r="G78" s="40"/>
      <c r="H78" s="186"/>
      <c r="I78" s="91">
        <v>2.5</v>
      </c>
      <c r="J78" s="40"/>
      <c r="K78" s="97"/>
      <c r="L78" s="98"/>
      <c r="M78" s="99"/>
      <c r="N78" s="93"/>
      <c r="O78" s="87" t="s">
        <v>194</v>
      </c>
      <c r="P78" s="175">
        <v>1</v>
      </c>
      <c r="Q78" s="88">
        <v>0.5</v>
      </c>
      <c r="R78" s="100">
        <v>0.5</v>
      </c>
      <c r="S78" s="101"/>
      <c r="T78" s="92"/>
      <c r="U78" s="179"/>
      <c r="V78" s="175"/>
      <c r="W78" s="100">
        <v>0</v>
      </c>
      <c r="X78" s="100">
        <v>0</v>
      </c>
      <c r="Y78" s="101"/>
      <c r="Z78" s="92">
        <v>0</v>
      </c>
      <c r="AA78" s="40"/>
      <c r="AB78" s="76"/>
      <c r="BG78" s="40"/>
    </row>
    <row r="79" spans="6:72" ht="14.25" customHeight="1" x14ac:dyDescent="0.15">
      <c r="F79" s="235" t="s">
        <v>23</v>
      </c>
      <c r="G79" s="40"/>
      <c r="H79" s="168">
        <v>3</v>
      </c>
      <c r="I79" s="189" t="s">
        <v>94</v>
      </c>
      <c r="J79" s="40"/>
      <c r="K79" s="73"/>
      <c r="L79" s="74"/>
      <c r="M79" s="75"/>
      <c r="N79" s="76"/>
      <c r="O79" s="77" t="s">
        <v>191</v>
      </c>
      <c r="P79" s="173">
        <v>3</v>
      </c>
      <c r="Q79" s="78">
        <v>0.5</v>
      </c>
      <c r="R79" s="79">
        <v>1.5</v>
      </c>
      <c r="S79" s="80"/>
      <c r="T79" s="81">
        <v>0</v>
      </c>
      <c r="U79" s="176" t="s">
        <v>66</v>
      </c>
      <c r="V79" s="174">
        <v>1</v>
      </c>
      <c r="W79" s="82">
        <v>0</v>
      </c>
      <c r="X79" s="82">
        <v>0</v>
      </c>
      <c r="Y79" s="83"/>
      <c r="Z79" s="84">
        <v>0.5</v>
      </c>
      <c r="AA79" s="40"/>
      <c r="AB79" s="85"/>
      <c r="BG79" s="40"/>
    </row>
    <row r="80" spans="6:72" ht="14.25" customHeight="1" x14ac:dyDescent="0.15">
      <c r="F80" s="235"/>
      <c r="G80" s="40"/>
      <c r="H80" s="186" t="s">
        <v>196</v>
      </c>
      <c r="I80" s="170">
        <v>25</v>
      </c>
      <c r="J80" s="40"/>
      <c r="K80" s="171">
        <v>80</v>
      </c>
      <c r="L80" s="74">
        <v>0.32379999999999998</v>
      </c>
      <c r="M80" s="172">
        <v>15.4</v>
      </c>
      <c r="N80" s="84">
        <v>4.99</v>
      </c>
      <c r="O80" s="87" t="s">
        <v>193</v>
      </c>
      <c r="P80" s="174">
        <v>2</v>
      </c>
      <c r="Q80" s="88">
        <v>0</v>
      </c>
      <c r="R80" s="82">
        <v>0</v>
      </c>
      <c r="S80" s="83">
        <v>2</v>
      </c>
      <c r="T80" s="84">
        <v>0.65</v>
      </c>
      <c r="U80" s="177" t="s">
        <v>6</v>
      </c>
      <c r="V80" s="174">
        <v>1</v>
      </c>
      <c r="W80" s="82">
        <v>0.18</v>
      </c>
      <c r="X80" s="82">
        <v>0.18</v>
      </c>
      <c r="Y80" s="83">
        <v>0.18</v>
      </c>
      <c r="Z80" s="84">
        <v>0</v>
      </c>
      <c r="AA80" s="40"/>
      <c r="AB80" s="84">
        <v>6.2</v>
      </c>
      <c r="AK80" s="431"/>
      <c r="AL80" s="432"/>
      <c r="AM80" s="433"/>
      <c r="AN80" s="102"/>
      <c r="BG80" s="40"/>
    </row>
    <row r="81" spans="6:59" ht="14.25" customHeight="1" x14ac:dyDescent="0.15">
      <c r="F81" s="235"/>
      <c r="G81" s="40"/>
      <c r="H81" s="187"/>
      <c r="I81" s="91">
        <v>2.5</v>
      </c>
      <c r="J81" s="40"/>
      <c r="K81" s="73"/>
      <c r="L81" s="74"/>
      <c r="M81" s="75"/>
      <c r="N81" s="76"/>
      <c r="O81" s="87" t="s">
        <v>194</v>
      </c>
      <c r="P81" s="175">
        <v>1</v>
      </c>
      <c r="Q81" s="88">
        <v>0.5</v>
      </c>
      <c r="R81" s="100">
        <v>0.5</v>
      </c>
      <c r="S81" s="101"/>
      <c r="T81" s="92"/>
      <c r="U81" s="178"/>
      <c r="V81" s="174"/>
      <c r="W81" s="100">
        <v>0</v>
      </c>
      <c r="X81" s="82">
        <v>0</v>
      </c>
      <c r="Y81" s="83"/>
      <c r="Z81" s="92">
        <v>6.0000000000000005E-2</v>
      </c>
      <c r="AA81" s="40"/>
      <c r="AB81" s="93"/>
      <c r="AK81" s="431" t="s">
        <v>63</v>
      </c>
      <c r="AL81" s="432"/>
      <c r="AM81" s="433"/>
      <c r="AN81" s="102" t="s">
        <v>64</v>
      </c>
      <c r="BG81" s="40"/>
    </row>
    <row r="82" spans="6:59" ht="14.25" customHeight="1" x14ac:dyDescent="0.15">
      <c r="F82" s="235" t="s">
        <v>24</v>
      </c>
      <c r="G82" s="40"/>
      <c r="H82" s="169">
        <v>4</v>
      </c>
      <c r="I82" s="189" t="s">
        <v>94</v>
      </c>
      <c r="J82" s="40"/>
      <c r="K82" s="94"/>
      <c r="L82" s="95"/>
      <c r="M82" s="96"/>
      <c r="N82" s="85"/>
      <c r="O82" s="77" t="s">
        <v>191</v>
      </c>
      <c r="P82" s="173"/>
      <c r="Q82" s="78">
        <v>0.5</v>
      </c>
      <c r="R82" s="79">
        <v>0</v>
      </c>
      <c r="S82" s="80"/>
      <c r="T82" s="81">
        <v>0</v>
      </c>
      <c r="U82" s="176" t="s">
        <v>6</v>
      </c>
      <c r="V82" s="173">
        <v>1</v>
      </c>
      <c r="W82" s="82">
        <v>0.18</v>
      </c>
      <c r="X82" s="79">
        <v>0.18</v>
      </c>
      <c r="Y82" s="80"/>
      <c r="Z82" s="84">
        <v>0</v>
      </c>
      <c r="AA82" s="40"/>
      <c r="AB82" s="76"/>
      <c r="AK82" s="431" t="s">
        <v>52</v>
      </c>
      <c r="AL82" s="432"/>
      <c r="AM82" s="433"/>
      <c r="AN82" s="102" t="s">
        <v>40</v>
      </c>
      <c r="BG82" s="40"/>
    </row>
    <row r="83" spans="6:59" ht="14.25" customHeight="1" x14ac:dyDescent="0.15">
      <c r="F83" s="235"/>
      <c r="G83" s="40"/>
      <c r="H83" s="186" t="s">
        <v>197</v>
      </c>
      <c r="I83" s="170">
        <v>25</v>
      </c>
      <c r="J83" s="40"/>
      <c r="K83" s="171">
        <v>80</v>
      </c>
      <c r="L83" s="74">
        <v>0.32379999999999998</v>
      </c>
      <c r="M83" s="172">
        <v>0.6</v>
      </c>
      <c r="N83" s="84">
        <v>0.2</v>
      </c>
      <c r="O83" s="87" t="s">
        <v>193</v>
      </c>
      <c r="P83" s="174">
        <v>1</v>
      </c>
      <c r="Q83" s="88">
        <v>0</v>
      </c>
      <c r="R83" s="82">
        <v>0</v>
      </c>
      <c r="S83" s="83">
        <v>0.5</v>
      </c>
      <c r="T83" s="84">
        <v>0.17</v>
      </c>
      <c r="U83" s="177"/>
      <c r="V83" s="174"/>
      <c r="W83" s="82">
        <v>0</v>
      </c>
      <c r="X83" s="82">
        <v>0</v>
      </c>
      <c r="Y83" s="83">
        <v>0.18</v>
      </c>
      <c r="Z83" s="84">
        <v>0</v>
      </c>
      <c r="AA83" s="40"/>
      <c r="AB83" s="84">
        <v>0.43</v>
      </c>
      <c r="AK83" s="431" t="s">
        <v>53</v>
      </c>
      <c r="AL83" s="432"/>
      <c r="AM83" s="433"/>
      <c r="AN83" s="102" t="s">
        <v>56</v>
      </c>
      <c r="BG83" s="40"/>
    </row>
    <row r="84" spans="6:59" ht="14.25" customHeight="1" x14ac:dyDescent="0.15">
      <c r="F84" s="235"/>
      <c r="G84" s="40"/>
      <c r="H84" s="186"/>
      <c r="I84" s="91">
        <v>2.5</v>
      </c>
      <c r="J84" s="40"/>
      <c r="K84" s="97"/>
      <c r="L84" s="98"/>
      <c r="M84" s="99"/>
      <c r="N84" s="93"/>
      <c r="O84" s="87" t="s">
        <v>194</v>
      </c>
      <c r="P84" s="175">
        <v>1</v>
      </c>
      <c r="Q84" s="88">
        <v>0.5</v>
      </c>
      <c r="R84" s="100">
        <v>0.5</v>
      </c>
      <c r="S84" s="101"/>
      <c r="T84" s="92"/>
      <c r="U84" s="178"/>
      <c r="V84" s="175"/>
      <c r="W84" s="100">
        <v>0</v>
      </c>
      <c r="X84" s="100">
        <v>0</v>
      </c>
      <c r="Y84" s="101"/>
      <c r="Z84" s="92">
        <v>6.0000000000000005E-2</v>
      </c>
      <c r="AA84" s="40"/>
      <c r="AB84" s="93"/>
      <c r="AK84" s="431" t="s">
        <v>62</v>
      </c>
      <c r="AL84" s="432"/>
      <c r="AM84" s="433"/>
      <c r="AN84" s="102" t="s">
        <v>39</v>
      </c>
      <c r="BG84" s="40"/>
    </row>
    <row r="85" spans="6:59" ht="14.25" customHeight="1" x14ac:dyDescent="0.15">
      <c r="F85" s="235" t="s">
        <v>25</v>
      </c>
      <c r="G85" s="40"/>
      <c r="H85" s="168">
        <v>5</v>
      </c>
      <c r="I85" s="189" t="s">
        <v>94</v>
      </c>
      <c r="J85" s="40"/>
      <c r="K85" s="73"/>
      <c r="L85" s="74"/>
      <c r="M85" s="75"/>
      <c r="N85" s="76"/>
      <c r="O85" s="77" t="s">
        <v>191</v>
      </c>
      <c r="P85" s="173">
        <v>4</v>
      </c>
      <c r="Q85" s="78">
        <v>0.8</v>
      </c>
      <c r="R85" s="79">
        <f>P85*Q85</f>
        <v>3.2</v>
      </c>
      <c r="S85" s="80"/>
      <c r="T85" s="81">
        <v>0</v>
      </c>
      <c r="U85" s="176" t="s">
        <v>172</v>
      </c>
      <c r="V85" s="173">
        <v>1</v>
      </c>
      <c r="W85" s="82"/>
      <c r="X85" s="79">
        <f>V85*W85</f>
        <v>0</v>
      </c>
      <c r="Y85" s="80"/>
      <c r="Z85" s="84">
        <v>6</v>
      </c>
      <c r="AA85" s="40"/>
      <c r="AB85" s="76"/>
      <c r="AK85" s="431" t="s">
        <v>59</v>
      </c>
      <c r="AL85" s="432"/>
      <c r="AM85" s="433"/>
      <c r="AN85" s="102" t="s">
        <v>61</v>
      </c>
      <c r="BG85" s="40"/>
    </row>
    <row r="86" spans="6:59" ht="14.25" customHeight="1" x14ac:dyDescent="0.15">
      <c r="F86" s="235"/>
      <c r="G86" s="40"/>
      <c r="H86" s="186" t="s">
        <v>200</v>
      </c>
      <c r="I86" s="170">
        <v>40</v>
      </c>
      <c r="J86" s="40"/>
      <c r="K86" s="171">
        <v>80</v>
      </c>
      <c r="L86" s="74">
        <v>3.6300000000000006E-2</v>
      </c>
      <c r="M86" s="172">
        <v>10.1</v>
      </c>
      <c r="N86" s="84">
        <f>ROUNDUP(L86*M86,2)</f>
        <v>0.37</v>
      </c>
      <c r="O86" s="87" t="s">
        <v>193</v>
      </c>
      <c r="P86" s="174"/>
      <c r="Q86" s="88">
        <v>1</v>
      </c>
      <c r="R86" s="82">
        <f>P86*Q86</f>
        <v>0</v>
      </c>
      <c r="S86" s="83">
        <f>R85+R86</f>
        <v>3.2</v>
      </c>
      <c r="T86" s="84">
        <f>ROUNDUP(L86*S86,2)</f>
        <v>0.12</v>
      </c>
      <c r="U86" s="177" t="s">
        <v>6</v>
      </c>
      <c r="V86" s="174">
        <v>1</v>
      </c>
      <c r="W86" s="82">
        <v>0.3</v>
      </c>
      <c r="X86" s="82">
        <f>V86*W86</f>
        <v>0.3</v>
      </c>
      <c r="Y86" s="83">
        <f>SUM(X85:X87)</f>
        <v>0.3</v>
      </c>
      <c r="Z86" s="84">
        <v>0</v>
      </c>
      <c r="AA86" s="40"/>
      <c r="AB86" s="84">
        <f>N86+T86+Z87+Z85</f>
        <v>6.51</v>
      </c>
      <c r="AK86" s="124" t="s">
        <v>86</v>
      </c>
      <c r="AL86" s="125"/>
      <c r="AM86" s="126"/>
      <c r="AN86" s="102" t="s">
        <v>89</v>
      </c>
      <c r="BG86" s="40"/>
    </row>
    <row r="87" spans="6:59" ht="14.25" customHeight="1" x14ac:dyDescent="0.15">
      <c r="F87" s="235"/>
      <c r="G87" s="40"/>
      <c r="H87" s="187"/>
      <c r="I87" s="91">
        <v>4</v>
      </c>
      <c r="J87" s="40"/>
      <c r="K87" s="73"/>
      <c r="L87" s="74"/>
      <c r="M87" s="75"/>
      <c r="N87" s="76"/>
      <c r="O87" s="87" t="s">
        <v>194</v>
      </c>
      <c r="P87" s="175"/>
      <c r="Q87" s="88">
        <v>1.8</v>
      </c>
      <c r="R87" s="100">
        <v>0</v>
      </c>
      <c r="S87" s="101"/>
      <c r="T87" s="92"/>
      <c r="U87" s="178"/>
      <c r="V87" s="175"/>
      <c r="W87" s="100"/>
      <c r="X87" s="100">
        <f>V87*W87</f>
        <v>0</v>
      </c>
      <c r="Y87" s="101"/>
      <c r="Z87" s="92">
        <f>ROUNDUP(L86*Y86,2)</f>
        <v>0.02</v>
      </c>
      <c r="AA87" s="40"/>
      <c r="AB87" s="93"/>
      <c r="AK87" s="124" t="s">
        <v>88</v>
      </c>
      <c r="AL87" s="125"/>
      <c r="AM87" s="126"/>
      <c r="AN87" s="102" t="s">
        <v>254</v>
      </c>
      <c r="BG87" s="40"/>
    </row>
    <row r="88" spans="6:59" ht="17.25" customHeight="1" x14ac:dyDescent="0.15">
      <c r="F88" s="235" t="s">
        <v>26</v>
      </c>
      <c r="G88" s="40"/>
      <c r="H88" s="169"/>
      <c r="I88" s="189" t="s">
        <v>198</v>
      </c>
      <c r="J88" s="40"/>
      <c r="K88" s="94"/>
      <c r="L88" s="95"/>
      <c r="M88" s="96"/>
      <c r="N88" s="85"/>
      <c r="O88" s="77" t="s">
        <v>198</v>
      </c>
      <c r="P88" s="173"/>
      <c r="Q88" s="78">
        <v>0</v>
      </c>
      <c r="R88" s="79">
        <v>0</v>
      </c>
      <c r="S88" s="80"/>
      <c r="T88" s="81">
        <v>0</v>
      </c>
      <c r="U88" s="176"/>
      <c r="V88" s="173"/>
      <c r="W88" s="82">
        <v>0</v>
      </c>
      <c r="X88" s="79">
        <v>0</v>
      </c>
      <c r="Y88" s="80"/>
      <c r="Z88" s="84">
        <v>0</v>
      </c>
      <c r="AA88" s="40"/>
      <c r="AB88" s="76"/>
      <c r="AK88" s="124"/>
      <c r="AL88" s="125"/>
      <c r="AM88" s="126"/>
      <c r="AN88" s="102"/>
    </row>
    <row r="89" spans="6:59" ht="17.25" customHeight="1" x14ac:dyDescent="0.15">
      <c r="F89" s="235"/>
      <c r="G89" s="40"/>
      <c r="H89"/>
      <c r="I89" s="170"/>
      <c r="J89" s="40"/>
      <c r="K89" s="171" t="s">
        <v>198</v>
      </c>
      <c r="L89" s="74">
        <v>0</v>
      </c>
      <c r="M89" s="172"/>
      <c r="N89" s="84">
        <v>0</v>
      </c>
      <c r="O89" s="87" t="s">
        <v>198</v>
      </c>
      <c r="P89" s="174"/>
      <c r="Q89" s="88">
        <v>0</v>
      </c>
      <c r="R89" s="82">
        <v>0</v>
      </c>
      <c r="S89" s="83">
        <v>0</v>
      </c>
      <c r="T89" s="84">
        <v>0</v>
      </c>
      <c r="U89" s="177"/>
      <c r="V89" s="174"/>
      <c r="W89" s="82">
        <v>0</v>
      </c>
      <c r="X89" s="82">
        <v>0</v>
      </c>
      <c r="Y89" s="83">
        <v>0</v>
      </c>
      <c r="Z89" s="84">
        <v>0</v>
      </c>
      <c r="AA89" s="40"/>
      <c r="AB89" s="84">
        <v>0</v>
      </c>
    </row>
    <row r="90" spans="6:59" ht="17.25" customHeight="1" x14ac:dyDescent="0.15">
      <c r="F90" s="235"/>
      <c r="G90" s="40"/>
      <c r="H90" s="186"/>
      <c r="I90" s="91">
        <v>0</v>
      </c>
      <c r="J90" s="40"/>
      <c r="K90" s="97"/>
      <c r="L90" s="98"/>
      <c r="M90" s="99"/>
      <c r="N90" s="93"/>
      <c r="O90" s="87" t="s">
        <v>198</v>
      </c>
      <c r="P90" s="175"/>
      <c r="Q90" s="88">
        <v>0</v>
      </c>
      <c r="R90" s="100">
        <v>0</v>
      </c>
      <c r="S90" s="101"/>
      <c r="T90" s="92"/>
      <c r="U90" s="178"/>
      <c r="V90" s="175"/>
      <c r="W90" s="100">
        <v>0</v>
      </c>
      <c r="X90" s="100">
        <v>0</v>
      </c>
      <c r="Y90" s="101"/>
      <c r="Z90" s="92">
        <v>0</v>
      </c>
      <c r="AA90" s="40"/>
      <c r="AB90" s="76"/>
    </row>
    <row r="91" spans="6:59" ht="17.25" customHeight="1" x14ac:dyDescent="0.15">
      <c r="F91" s="235" t="s">
        <v>27</v>
      </c>
      <c r="G91" s="40"/>
      <c r="H91" s="168"/>
      <c r="I91" s="189" t="s">
        <v>198</v>
      </c>
      <c r="J91" s="40"/>
      <c r="K91" s="73"/>
      <c r="L91" s="74"/>
      <c r="M91" s="75"/>
      <c r="N91" s="76"/>
      <c r="O91" s="77" t="s">
        <v>198</v>
      </c>
      <c r="P91" s="173"/>
      <c r="Q91" s="78">
        <v>0</v>
      </c>
      <c r="R91" s="79">
        <v>0</v>
      </c>
      <c r="S91" s="80"/>
      <c r="T91" s="81">
        <v>0</v>
      </c>
      <c r="U91" s="176"/>
      <c r="V91" s="174"/>
      <c r="W91" s="82">
        <v>0</v>
      </c>
      <c r="X91" s="82">
        <v>0</v>
      </c>
      <c r="Y91" s="83"/>
      <c r="Z91" s="84">
        <v>0</v>
      </c>
      <c r="AA91" s="40"/>
      <c r="AB91" s="85"/>
      <c r="AK91" s="102"/>
      <c r="AL91" s="102"/>
    </row>
    <row r="92" spans="6:59" ht="17.25" customHeight="1" x14ac:dyDescent="0.15">
      <c r="F92" s="235"/>
      <c r="G92" s="40"/>
      <c r="H92" s="186">
        <v>0</v>
      </c>
      <c r="I92" s="170"/>
      <c r="J92" s="40"/>
      <c r="K92" s="171" t="s">
        <v>198</v>
      </c>
      <c r="L92" s="74">
        <v>0</v>
      </c>
      <c r="M92" s="172"/>
      <c r="N92" s="84">
        <v>0</v>
      </c>
      <c r="O92" s="87" t="s">
        <v>198</v>
      </c>
      <c r="P92" s="174"/>
      <c r="Q92" s="88">
        <v>0</v>
      </c>
      <c r="R92" s="82">
        <v>0</v>
      </c>
      <c r="S92" s="83">
        <v>0</v>
      </c>
      <c r="T92" s="84">
        <v>0</v>
      </c>
      <c r="U92" s="177"/>
      <c r="V92" s="174"/>
      <c r="W92" s="82">
        <v>0</v>
      </c>
      <c r="X92" s="82">
        <v>0</v>
      </c>
      <c r="Y92" s="83">
        <v>0</v>
      </c>
      <c r="Z92" s="84">
        <v>0</v>
      </c>
      <c r="AA92" s="40"/>
      <c r="AB92" s="84">
        <v>0</v>
      </c>
      <c r="AK92" s="102" t="s">
        <v>65</v>
      </c>
      <c r="AL92" s="102" t="s">
        <v>65</v>
      </c>
    </row>
    <row r="93" spans="6:59" ht="17.25" customHeight="1" x14ac:dyDescent="0.15">
      <c r="F93" s="235"/>
      <c r="G93" s="40"/>
      <c r="H93" s="187"/>
      <c r="I93" s="91">
        <v>0</v>
      </c>
      <c r="J93" s="40"/>
      <c r="K93" s="97"/>
      <c r="L93" s="74"/>
      <c r="M93" s="75"/>
      <c r="N93"/>
      <c r="O93" s="87" t="s">
        <v>198</v>
      </c>
      <c r="P93" s="175"/>
      <c r="Q93" s="88">
        <v>0</v>
      </c>
      <c r="R93" s="100">
        <v>0</v>
      </c>
      <c r="S93" s="101"/>
      <c r="T93" s="92"/>
      <c r="U93" s="178"/>
      <c r="V93" s="174"/>
      <c r="W93" s="100">
        <v>0</v>
      </c>
      <c r="X93" s="82">
        <v>0</v>
      </c>
      <c r="Y93" s="83"/>
      <c r="Z93" s="92">
        <v>0</v>
      </c>
      <c r="AA93" s="40"/>
      <c r="AB93" s="93"/>
      <c r="AK93" s="102" t="s">
        <v>66</v>
      </c>
      <c r="AL93" s="57" t="s">
        <v>6</v>
      </c>
    </row>
    <row r="94" spans="6:59" ht="17.25" customHeight="1" x14ac:dyDescent="0.15">
      <c r="F94" s="235" t="s">
        <v>28</v>
      </c>
      <c r="G94" s="40"/>
      <c r="H94" s="169"/>
      <c r="I94" s="189" t="s">
        <v>198</v>
      </c>
      <c r="J94" s="40"/>
      <c r="K94" s="94"/>
      <c r="L94" s="95"/>
      <c r="M94" s="96"/>
      <c r="N94" s="85"/>
      <c r="O94" s="77" t="s">
        <v>198</v>
      </c>
      <c r="P94" s="173"/>
      <c r="Q94" s="78">
        <v>0</v>
      </c>
      <c r="R94" s="79">
        <v>0</v>
      </c>
      <c r="S94" s="80"/>
      <c r="T94" s="81">
        <v>0</v>
      </c>
      <c r="U94" s="176"/>
      <c r="V94" s="173"/>
      <c r="W94" s="82">
        <v>0</v>
      </c>
      <c r="X94" s="79">
        <v>0</v>
      </c>
      <c r="Y94" s="80"/>
      <c r="Z94" s="84">
        <v>0</v>
      </c>
      <c r="AA94" s="40"/>
      <c r="AB94" s="76"/>
      <c r="AK94" s="57" t="s">
        <v>6</v>
      </c>
      <c r="AL94" s="57" t="s">
        <v>67</v>
      </c>
    </row>
    <row r="95" spans="6:59" ht="17.25" customHeight="1" x14ac:dyDescent="0.15">
      <c r="F95" s="235"/>
      <c r="G95" s="40"/>
      <c r="H95" s="186">
        <v>0</v>
      </c>
      <c r="I95" s="170"/>
      <c r="J95" s="40"/>
      <c r="K95" s="171" t="s">
        <v>198</v>
      </c>
      <c r="L95"/>
      <c r="M95" s="172"/>
      <c r="N95" s="84">
        <v>0</v>
      </c>
      <c r="O95" s="87" t="s">
        <v>198</v>
      </c>
      <c r="P95" s="174"/>
      <c r="Q95" s="88">
        <v>0</v>
      </c>
      <c r="R95" s="82">
        <v>0</v>
      </c>
      <c r="S95" s="83">
        <v>0</v>
      </c>
      <c r="T95" s="84">
        <v>0</v>
      </c>
      <c r="U95" s="177"/>
      <c r="V95" s="174"/>
      <c r="W95" s="82">
        <v>0</v>
      </c>
      <c r="X95" s="82">
        <v>0</v>
      </c>
      <c r="Y95" s="83">
        <v>0</v>
      </c>
      <c r="Z95" s="84">
        <v>0</v>
      </c>
      <c r="AA95" s="40"/>
      <c r="AB95" s="84">
        <v>0</v>
      </c>
      <c r="AK95" s="57" t="s">
        <v>67</v>
      </c>
      <c r="AL95" s="57" t="s">
        <v>68</v>
      </c>
    </row>
    <row r="96" spans="6:59" ht="17.25" customHeight="1" x14ac:dyDescent="0.15">
      <c r="F96" s="235"/>
      <c r="G96" s="40"/>
      <c r="H96" s="186"/>
      <c r="I96" s="91">
        <v>0</v>
      </c>
      <c r="J96" s="40"/>
      <c r="K96" s="97"/>
      <c r="L96" s="98"/>
      <c r="M96" s="99"/>
      <c r="N96" s="93"/>
      <c r="O96" s="87" t="s">
        <v>198</v>
      </c>
      <c r="P96" s="175"/>
      <c r="Q96" s="88">
        <v>0</v>
      </c>
      <c r="R96" s="100">
        <v>0</v>
      </c>
      <c r="S96" s="101"/>
      <c r="T96" s="92"/>
      <c r="U96" s="178"/>
      <c r="V96" s="175"/>
      <c r="W96" s="100">
        <v>0</v>
      </c>
      <c r="X96" s="100">
        <v>0</v>
      </c>
      <c r="Y96" s="101"/>
      <c r="Z96" s="92">
        <v>0</v>
      </c>
      <c r="AA96" s="40"/>
      <c r="AB96" s="76"/>
      <c r="AK96" s="57" t="s">
        <v>68</v>
      </c>
      <c r="AL96" s="57" t="s">
        <v>69</v>
      </c>
    </row>
    <row r="97" spans="6:54" ht="17.25" customHeight="1" x14ac:dyDescent="0.15">
      <c r="F97" s="235" t="s">
        <v>29</v>
      </c>
      <c r="G97" s="40"/>
      <c r="H97" s="168"/>
      <c r="I97" s="189" t="s">
        <v>198</v>
      </c>
      <c r="J97" s="40"/>
      <c r="K97" s="73"/>
      <c r="L97" s="74"/>
      <c r="M97" s="75"/>
      <c r="N97" s="76"/>
      <c r="O97" s="77" t="s">
        <v>198</v>
      </c>
      <c r="P97" s="173"/>
      <c r="Q97" s="78">
        <v>0</v>
      </c>
      <c r="R97" s="79">
        <v>0</v>
      </c>
      <c r="S97" s="80"/>
      <c r="T97" s="81">
        <v>0</v>
      </c>
      <c r="U97" s="176"/>
      <c r="V97" s="174"/>
      <c r="W97" s="82">
        <v>0</v>
      </c>
      <c r="X97" s="82">
        <v>0</v>
      </c>
      <c r="Y97" s="83"/>
      <c r="Z97" s="84">
        <v>0</v>
      </c>
      <c r="AA97" s="40"/>
      <c r="AB97" s="85"/>
      <c r="AK97" s="57" t="s">
        <v>69</v>
      </c>
      <c r="AL97" s="102" t="s">
        <v>41</v>
      </c>
    </row>
    <row r="98" spans="6:54" ht="17.25" customHeight="1" x14ac:dyDescent="0.15">
      <c r="F98" s="235"/>
      <c r="G98" s="40"/>
      <c r="H98" s="186">
        <v>0</v>
      </c>
      <c r="I98" s="170"/>
      <c r="J98" s="40"/>
      <c r="K98"/>
      <c r="L98" s="74">
        <v>0</v>
      </c>
      <c r="M98" s="172"/>
      <c r="N98" s="84">
        <v>0</v>
      </c>
      <c r="O98" s="87" t="s">
        <v>198</v>
      </c>
      <c r="P98" s="174"/>
      <c r="Q98" s="88">
        <v>0</v>
      </c>
      <c r="R98" s="82">
        <v>0</v>
      </c>
      <c r="S98" s="83">
        <v>0</v>
      </c>
      <c r="T98" s="84">
        <v>0</v>
      </c>
      <c r="U98" s="177"/>
      <c r="V98" s="174"/>
      <c r="W98" s="82">
        <v>0</v>
      </c>
      <c r="X98" s="82">
        <v>0</v>
      </c>
      <c r="Y98" s="83">
        <v>0</v>
      </c>
      <c r="Z98" s="84">
        <v>0</v>
      </c>
      <c r="AA98" s="40"/>
      <c r="AB98" s="84">
        <v>0</v>
      </c>
      <c r="AK98" s="102" t="s">
        <v>41</v>
      </c>
      <c r="AL98" s="102" t="s">
        <v>70</v>
      </c>
    </row>
    <row r="99" spans="6:54" ht="17.25" customHeight="1" x14ac:dyDescent="0.15">
      <c r="F99" s="235"/>
      <c r="G99" s="40"/>
      <c r="H99" s="187"/>
      <c r="I99" s="91">
        <v>0</v>
      </c>
      <c r="J99" s="40"/>
      <c r="K99" s="73"/>
      <c r="L99" s="74"/>
      <c r="M99" s="75"/>
      <c r="N99" s="76"/>
      <c r="O99" s="87" t="s">
        <v>198</v>
      </c>
      <c r="P99" s="175"/>
      <c r="Q99" s="88">
        <v>0</v>
      </c>
      <c r="R99" s="100">
        <v>0</v>
      </c>
      <c r="S99" s="101"/>
      <c r="T99" s="92"/>
      <c r="U99" s="178"/>
      <c r="V99" s="174"/>
      <c r="W99" s="100">
        <v>0</v>
      </c>
      <c r="X99" s="82">
        <v>0</v>
      </c>
      <c r="Y99" s="83"/>
      <c r="Z99" s="92">
        <v>0</v>
      </c>
      <c r="AA99" s="40"/>
      <c r="AB99" s="93"/>
      <c r="AK99" s="102" t="s">
        <v>70</v>
      </c>
    </row>
    <row r="100" spans="6:54" ht="17.25" customHeight="1" x14ac:dyDescent="0.15">
      <c r="F100" s="235" t="s">
        <v>30</v>
      </c>
      <c r="G100" s="40"/>
      <c r="H100" s="169"/>
      <c r="I100" s="189" t="s">
        <v>198</v>
      </c>
      <c r="J100" s="40"/>
      <c r="K100" s="94"/>
      <c r="L100" s="95"/>
      <c r="M100" s="96"/>
      <c r="N100" s="85"/>
      <c r="O100" s="77" t="s">
        <v>198</v>
      </c>
      <c r="P100" s="173"/>
      <c r="Q100" s="78">
        <v>0</v>
      </c>
      <c r="R100" s="79">
        <v>0</v>
      </c>
      <c r="S100" s="80"/>
      <c r="T100" s="81">
        <v>0</v>
      </c>
      <c r="U100" s="176"/>
      <c r="V100" s="173"/>
      <c r="W100" s="82">
        <v>0</v>
      </c>
      <c r="X100" s="79">
        <v>0</v>
      </c>
      <c r="Y100" s="80"/>
      <c r="Z100" s="84">
        <v>0</v>
      </c>
      <c r="AA100" s="40"/>
      <c r="AB100" s="76"/>
      <c r="AK100" s="102" t="s">
        <v>172</v>
      </c>
    </row>
    <row r="101" spans="6:54" ht="17.25" customHeight="1" x14ac:dyDescent="0.15">
      <c r="F101" s="235"/>
      <c r="G101" s="40"/>
      <c r="H101" s="186">
        <v>0</v>
      </c>
      <c r="I101" s="170"/>
      <c r="J101" s="40"/>
      <c r="K101" s="171" t="s">
        <v>198</v>
      </c>
      <c r="L101" s="74">
        <v>0</v>
      </c>
      <c r="M101" s="172"/>
      <c r="N101" s="84">
        <v>0</v>
      </c>
      <c r="O101" s="87" t="s">
        <v>198</v>
      </c>
      <c r="P101" s="174"/>
      <c r="Q101" s="88">
        <v>0</v>
      </c>
      <c r="R101" s="82">
        <v>0</v>
      </c>
      <c r="S101" s="83">
        <v>0</v>
      </c>
      <c r="T101" s="84">
        <v>0</v>
      </c>
      <c r="U101" s="177"/>
      <c r="V101" s="174"/>
      <c r="W101" s="82">
        <v>0</v>
      </c>
      <c r="X101" s="82">
        <v>0</v>
      </c>
      <c r="Y101" s="83">
        <v>0</v>
      </c>
      <c r="Z101" s="84">
        <v>0</v>
      </c>
      <c r="AA101" s="40"/>
      <c r="AB101" s="84">
        <v>0</v>
      </c>
      <c r="AK101" s="102" t="s">
        <v>173</v>
      </c>
    </row>
    <row r="102" spans="6:54" ht="17.25" customHeight="1" x14ac:dyDescent="0.15">
      <c r="F102" s="235"/>
      <c r="G102" s="40"/>
      <c r="H102" s="186"/>
      <c r="I102" s="91">
        <v>0</v>
      </c>
      <c r="J102" s="40"/>
      <c r="K102" s="97"/>
      <c r="L102" s="98"/>
      <c r="M102" s="99"/>
      <c r="N102" s="93"/>
      <c r="O102" s="87" t="s">
        <v>198</v>
      </c>
      <c r="P102" s="175"/>
      <c r="Q102" s="88">
        <v>0</v>
      </c>
      <c r="R102" s="100">
        <v>0</v>
      </c>
      <c r="S102" s="101"/>
      <c r="T102" s="92"/>
      <c r="U102" s="178"/>
      <c r="V102" s="175"/>
      <c r="W102" s="100">
        <v>0</v>
      </c>
      <c r="X102" s="100">
        <v>0</v>
      </c>
      <c r="Y102" s="101"/>
      <c r="Z102" s="92">
        <v>0</v>
      </c>
      <c r="AA102" s="40"/>
      <c r="AB102" s="76"/>
      <c r="AK102" s="102" t="s">
        <v>174</v>
      </c>
    </row>
    <row r="103" spans="6:54" ht="17.25" customHeight="1" x14ac:dyDescent="0.15">
      <c r="F103" s="235" t="s">
        <v>31</v>
      </c>
      <c r="G103" s="40"/>
      <c r="H103" s="168"/>
      <c r="I103" s="189" t="s">
        <v>198</v>
      </c>
      <c r="J103" s="40"/>
      <c r="K103" s="73"/>
      <c r="L103" s="74"/>
      <c r="M103" s="75"/>
      <c r="N103" s="76"/>
      <c r="O103" s="77" t="s">
        <v>198</v>
      </c>
      <c r="P103" s="173"/>
      <c r="Q103" s="79">
        <v>0</v>
      </c>
      <c r="R103" s="79">
        <v>0</v>
      </c>
      <c r="S103" s="80"/>
      <c r="T103" s="81">
        <v>0</v>
      </c>
      <c r="U103" s="176"/>
      <c r="V103" s="174"/>
      <c r="W103" s="82">
        <v>0</v>
      </c>
      <c r="X103" s="82">
        <v>0</v>
      </c>
      <c r="Y103" s="83"/>
      <c r="Z103" s="84">
        <v>0</v>
      </c>
      <c r="AA103" s="40"/>
      <c r="AB103" s="85"/>
    </row>
    <row r="104" spans="6:54" ht="17.25" customHeight="1" x14ac:dyDescent="0.15">
      <c r="F104" s="235"/>
      <c r="G104" s="40"/>
      <c r="H104" s="186">
        <v>0</v>
      </c>
      <c r="I104" s="170"/>
      <c r="J104" s="40"/>
      <c r="K104" s="171" t="s">
        <v>198</v>
      </c>
      <c r="L104" s="74">
        <v>0</v>
      </c>
      <c r="M104" s="172"/>
      <c r="N104" s="84">
        <v>0</v>
      </c>
      <c r="O104" s="87" t="s">
        <v>198</v>
      </c>
      <c r="P104" s="174"/>
      <c r="Q104" s="82">
        <v>0</v>
      </c>
      <c r="R104" s="82">
        <v>0</v>
      </c>
      <c r="S104" s="83">
        <v>0</v>
      </c>
      <c r="T104" s="84">
        <v>0</v>
      </c>
      <c r="U104" s="177"/>
      <c r="V104" s="174"/>
      <c r="W104" s="82">
        <v>0</v>
      </c>
      <c r="X104" s="82">
        <v>0</v>
      </c>
      <c r="Y104" s="83">
        <v>0</v>
      </c>
      <c r="Z104" s="84">
        <v>0</v>
      </c>
      <c r="AA104" s="40"/>
      <c r="AB104" s="84">
        <v>0</v>
      </c>
      <c r="AK104" s="105" t="s">
        <v>159</v>
      </c>
    </row>
    <row r="105" spans="6:54" ht="17.25" customHeight="1" thickBot="1" x14ac:dyDescent="0.2">
      <c r="F105" s="236"/>
      <c r="G105" s="40"/>
      <c r="H105" s="187"/>
      <c r="I105" s="146">
        <v>0</v>
      </c>
      <c r="J105" s="40"/>
      <c r="K105" s="97"/>
      <c r="L105" s="98"/>
      <c r="M105" s="99"/>
      <c r="N105" s="110"/>
      <c r="O105" s="111" t="s">
        <v>198</v>
      </c>
      <c r="P105" s="175"/>
      <c r="Q105" s="100">
        <v>0</v>
      </c>
      <c r="R105" s="100">
        <v>0</v>
      </c>
      <c r="S105" s="101"/>
      <c r="T105" s="112"/>
      <c r="U105" s="178"/>
      <c r="V105" s="175"/>
      <c r="W105" s="100">
        <v>0</v>
      </c>
      <c r="X105" s="100">
        <v>0</v>
      </c>
      <c r="Y105" s="101"/>
      <c r="Z105" s="112">
        <v>0</v>
      </c>
      <c r="AA105" s="40"/>
      <c r="AB105" s="110"/>
      <c r="AK105" s="357" t="s">
        <v>160</v>
      </c>
      <c r="AL105" s="357" t="s">
        <v>71</v>
      </c>
      <c r="AM105" s="357"/>
      <c r="AN105" s="357">
        <v>25</v>
      </c>
      <c r="AO105" s="357">
        <v>30</v>
      </c>
      <c r="AP105" s="357">
        <v>32</v>
      </c>
      <c r="AQ105" s="357">
        <v>40</v>
      </c>
      <c r="AR105" s="357">
        <v>50</v>
      </c>
      <c r="AS105" s="222" t="s">
        <v>143</v>
      </c>
      <c r="AT105" s="51">
        <v>32</v>
      </c>
      <c r="AU105" s="59" t="s">
        <v>147</v>
      </c>
      <c r="AV105" s="60"/>
      <c r="AW105" s="60"/>
      <c r="AX105" s="60"/>
      <c r="AY105" s="221"/>
      <c r="AZ105" s="60"/>
      <c r="BA105" s="60"/>
      <c r="BB105" s="61"/>
    </row>
    <row r="106" spans="6:54" ht="14.25" customHeight="1" thickBot="1" x14ac:dyDescent="0.2">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K106" s="423" t="s">
        <v>161</v>
      </c>
      <c r="AL106" s="424">
        <f>K11</f>
        <v>20</v>
      </c>
      <c r="AM106" s="357" t="s">
        <v>143</v>
      </c>
      <c r="AN106" s="357">
        <f>IF(AL106&lt;=25,5.7,IF(AND(AL106&gt;25,AL106&lt;=75),ROUNDUP(0.3/25*AL106+5.4,1),IF(AND(AL106&gt;75,AL106&lt;=100),ROUNDUP(0.4/25*AL106+5.1,1),ROUNDUP(0.5/25*AL106+4.7,1))))</f>
        <v>5.7</v>
      </c>
      <c r="AO106" s="357">
        <f>AP106</f>
        <v>5.5</v>
      </c>
      <c r="AP106" s="357">
        <f>IF(AL106&lt;=25,5.5,IF(AND(AL106&gt;25,AL106&lt;=100),ROUNDUP(0.8/75*AL106+5.2333,1),IF(AND(AL106&gt;100,AL106&lt;=150),ROUNDUP(0.7/50*AL106+4.9,1),ROUNDUP(1/50*AL106+4,1))))</f>
        <v>5.5</v>
      </c>
      <c r="AQ106" s="357">
        <f>IF(AL106&lt;=25,5.5,IF(AND(AL106&gt;25,AL106&lt;=100),ROUNDUP(0.7/60*AL106+5.0333,1),ROUNDUP(1/100*AL106+5.2,1)))</f>
        <v>5.5</v>
      </c>
      <c r="AR106" s="357">
        <f>IF(AL106&lt;=50,5.9,IF(AND(AL106&gt;50,AL106&lt;=100),ROUNDUP(0.1/50*AL106+5.8,1),ROUNDUP(0.5/100*AL106+5.5,1)))</f>
        <v>5.9</v>
      </c>
      <c r="AS106" s="223"/>
      <c r="AT106" s="51">
        <v>40</v>
      </c>
      <c r="AU106" s="59" t="s">
        <v>151</v>
      </c>
      <c r="AV106" s="60"/>
      <c r="AW106" s="60"/>
      <c r="AX106" s="60"/>
      <c r="AY106" s="221"/>
      <c r="AZ106" s="60"/>
      <c r="BA106" s="60"/>
      <c r="BB106" s="61"/>
    </row>
    <row r="107" spans="6:54" ht="14.25" customHeight="1" thickBot="1" x14ac:dyDescent="0.2">
      <c r="F107" s="40"/>
      <c r="G107" s="40"/>
      <c r="H107" s="64" t="s">
        <v>20</v>
      </c>
      <c r="I107" s="53"/>
      <c r="J107" s="40"/>
      <c r="K107" s="40"/>
      <c r="L107" s="40"/>
      <c r="M107" s="40"/>
      <c r="N107" s="116">
        <f>N74+N77+N80+N83+N86</f>
        <v>6.4</v>
      </c>
      <c r="O107" s="40"/>
      <c r="P107" s="40"/>
      <c r="Q107" s="40"/>
      <c r="R107" s="40"/>
      <c r="S107" s="40"/>
      <c r="T107" s="116">
        <f>T74+T77+T80+T83+T86</f>
        <v>1.1600000000000001</v>
      </c>
      <c r="U107" s="40"/>
      <c r="V107" s="40"/>
      <c r="W107" s="40"/>
      <c r="X107" s="40"/>
      <c r="Y107" s="40"/>
      <c r="Z107" s="116">
        <f>Z79+Z81+Z84+Z87+Z85</f>
        <v>6.6400000000000006</v>
      </c>
      <c r="AA107" s="40"/>
      <c r="AB107" s="116">
        <f>AB74+AB77+AB80+AB83+AB86</f>
        <v>14.2</v>
      </c>
      <c r="AK107" s="423"/>
      <c r="AL107" s="425"/>
      <c r="AM107" s="357" t="s">
        <v>144</v>
      </c>
      <c r="AN107" s="357">
        <f>IF(AL106&lt;=30,7.1,IF(AND(AL106&gt;30,AL106&lt;=50),ROUNDUP(-0.6/20*AL106+8,1),IF(AND(AL106&gt;50,AL106&lt;=100),ROUNDUP(0.1/50*AL106+6.4,1),IF(AND(AL106&gt;100,AL106&lt;=125),ROUNDUP(0.5/25*AL106+4.6,1),ROUNDUP(1.4/25*AL106+0.1,1)))))</f>
        <v>7.1</v>
      </c>
      <c r="AO107" s="357">
        <f t="shared" ref="AO107:AO138" si="31">AP107</f>
        <v>6.6</v>
      </c>
      <c r="AP107" s="357">
        <f>IF(AL106&lt;=25,ROUNDUP(0.8/25*AL106+5.9,1),IF(AND(AL106&gt;25,AL106&lt;=50),ROUNDUP(0.4/25*AL106+6.3,1),IF(AND(AL106&gt;50,AL106&lt;=70),ROUNDUP(0.1/20*AL106+6.85,1),IF(AND(AL106&gt;70,AL106&lt;=100),ROUNDUP(-0.1/30*AL106+7.4333,1),IF(AND(AL106&gt;100,AL106&lt;=150),ROUNDUP(0.4/50*AL106+6.3,1),ROUNDUP(0.7/50*AL106+5.4,1))))))</f>
        <v>6.6</v>
      </c>
      <c r="AQ107" s="357">
        <f>IF(AL106&lt;=25,ROUNDUP(0.7/25*AL106+5.8,1),IF(AND(AL106&gt;25,AL106&lt;=50),ROUNDUP(0.4/25*AL106+6.1,1),IF(AND(AL106&gt;50,AL106&lt;=75),ROUNDUP(0.3/25*AL106+6.3,1),IF(AND(AL106&gt;75,AL106&lt;=100),ROUNDUP(0.1/25*AL106+6.9,1),IF(AND(AL106&gt;100,AL106&lt;=120),7.3,IF(AND(AL106&gt;120,AL106&lt;=160),ROUNDUP(-0.2/40*AL106+7.9,1),ROUNDUP(0.3/40*AL106+5.9,1)))))))</f>
        <v>6.3999999999999995</v>
      </c>
      <c r="AR107" s="357">
        <f>IF(AL106&lt;=50,ROUNDUP(0.75/100*AL106+5.6,1),ROUNDUP(0.15/100*AL106+6.2,1))</f>
        <v>5.8</v>
      </c>
      <c r="AS107" s="224"/>
      <c r="AT107" s="51">
        <v>50</v>
      </c>
      <c r="AU107" s="59" t="s">
        <v>152</v>
      </c>
      <c r="AV107" s="60"/>
      <c r="AW107" s="60"/>
      <c r="AX107" s="60"/>
      <c r="AY107" s="221"/>
      <c r="AZ107" s="60"/>
      <c r="BA107" s="60"/>
      <c r="BB107" s="61"/>
    </row>
    <row r="108" spans="6:54" ht="14.25" customHeight="1" x14ac:dyDescent="0.15">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K108" s="423"/>
      <c r="AL108" s="426"/>
      <c r="AM108" s="357" t="s">
        <v>145</v>
      </c>
      <c r="AN108" s="357">
        <f>IF(AL106&lt;=20,6.1,IF(AND(AL106&gt;20,AL106&lt;=50),ROUNDUP(0.4/30*AL106+5.8333,1),IF(AND(AL106&gt;50,AL106&lt;=100),ROUNDUP(0.4/50*AL106+6.1,1),ROUNDUP(3.3/150*AL106+4.7,1))))</f>
        <v>6.1</v>
      </c>
      <c r="AO108" s="357">
        <f t="shared" si="31"/>
        <v>6</v>
      </c>
      <c r="AP108" s="357">
        <f>IF(AL106&lt;=8,5.6,IF(AND(AL106&gt;8,AL106&lt;=17),ROUNDUP(0.3/9*AL106+5.3333,1),IF(AND(AL106&gt;17,AL106&lt;=135),ROUNDUP(0.4/118*AL106+5.8423,1),ROUNDUP(1.1/65*AL106+4.0153,1))))</f>
        <v>6</v>
      </c>
      <c r="AQ108" s="357">
        <f>IF(AL106&lt;=8,5.6,IF(AND(AL106&gt;8,AL106&lt;=10),ROUNDUP(0.3/2*AL106+4.4,1),IF(AND(AL106&gt;10,AL106&lt;=17),ROUNDUP(0.1/7*AL106+5.7571,1),IF(AND(AL106&gt;17,AL106&lt;=50),ROUNDUP(0.3/33*AL106+5.8454,1),IF(AND(AL106&gt;50,AL106&lt;=150),ROUNDUP(0.3/100*AL106+6.15,1),ROUNDUP(0.2/50*AL106+6,1))))))</f>
        <v>6.1</v>
      </c>
      <c r="AR108" s="357">
        <f>IF(AL106&lt;=10,5.5,IF(AND(AL106&gt;10,AL106&lt;=68),ROUNDUP(0.7/58*AL106+5.3793,1),IF(AND(AL106&gt;68,AL106&lt;=138),ROUNDUP(0.4/70*AL106+5.8114,1),ROUNDUP(0.1/62*AL106+6.3774,1))))</f>
        <v>5.6999999999999993</v>
      </c>
      <c r="AS108" s="225" t="s">
        <v>144</v>
      </c>
      <c r="AT108" s="51">
        <v>32</v>
      </c>
      <c r="AU108" s="59" t="s">
        <v>153</v>
      </c>
      <c r="AV108" s="60"/>
      <c r="AW108" s="60"/>
      <c r="AX108" s="60"/>
      <c r="AY108" s="221"/>
      <c r="AZ108" s="60"/>
      <c r="BA108" s="60"/>
      <c r="BB108" s="61"/>
    </row>
    <row r="109" spans="6:54" ht="14.25" customHeight="1" x14ac:dyDescent="0.15">
      <c r="F109" s="64" t="s">
        <v>32</v>
      </c>
      <c r="G109" s="66"/>
      <c r="H109" s="53"/>
      <c r="I109" s="117">
        <f>AB107</f>
        <v>14.2</v>
      </c>
      <c r="J109" s="60"/>
      <c r="K109" s="335" t="s">
        <v>33</v>
      </c>
      <c r="L109" s="118" t="s">
        <v>43</v>
      </c>
      <c r="M109" s="54"/>
      <c r="N109" s="54"/>
      <c r="O109" s="40"/>
      <c r="P109" s="40"/>
      <c r="Q109" s="40"/>
      <c r="R109" s="40"/>
      <c r="S109" s="40"/>
      <c r="T109" s="40"/>
      <c r="U109" s="40"/>
      <c r="V109" s="40"/>
      <c r="W109" s="40"/>
      <c r="X109" s="40"/>
      <c r="Y109" s="40"/>
      <c r="Z109" s="40"/>
      <c r="AA109" s="40"/>
      <c r="AB109" s="40"/>
      <c r="AK109" s="423" t="s">
        <v>162</v>
      </c>
      <c r="AL109" s="424">
        <f t="shared" ref="AL109" si="32">K14</f>
        <v>0</v>
      </c>
      <c r="AM109" s="357" t="s">
        <v>143</v>
      </c>
      <c r="AN109" s="357">
        <f t="shared" ref="AN109" si="33">IF(AL109&lt;=25,5.7,IF(AND(AL109&gt;25,AL109&lt;=75),ROUNDUP(0.3/25*AL109+5.4,1),IF(AND(AL109&gt;75,AL109&lt;=100),ROUNDUP(0.4/25*AL109+5.1,1),ROUNDUP(0.5/25*AL109+4.7,1))))</f>
        <v>5.7</v>
      </c>
      <c r="AO109" s="357">
        <f t="shared" si="31"/>
        <v>5.5</v>
      </c>
      <c r="AP109" s="357">
        <f>IF(AL109&lt;=25,5.5,IF(AND(AL109&gt;25,AL109&lt;=100),ROUNDUP(0.8/75*AL109+5.2333,1),IF(AND(AL109&gt;100,AL109&lt;=150),ROUNDUP(0.7/50*AL109+4.9,1),ROUNDUP(1/50*AL109+4,1))))</f>
        <v>5.5</v>
      </c>
      <c r="AQ109" s="357">
        <f>IF(AL109&lt;=25,5.5,IF(AND(AL109&gt;25,AL109&lt;=100),ROUNDUP(0.7/60*AL109+5.0333,1),ROUNDUP(1/100*AL109+5.2,1)))</f>
        <v>5.5</v>
      </c>
      <c r="AR109" s="357">
        <f>IF(AL109&lt;=50,5.9,IF(AND(AL109&gt;50,AL109&lt;=100),ROUNDUP(0.1/50*AL109+5.8,1),ROUNDUP(0.5/100*AL109+5.5,1)))</f>
        <v>5.9</v>
      </c>
      <c r="AS109" s="226"/>
      <c r="AT109" s="51">
        <v>40</v>
      </c>
      <c r="AU109" s="59" t="s">
        <v>154</v>
      </c>
      <c r="AV109" s="60"/>
      <c r="AW109" s="60"/>
      <c r="AX109" s="60"/>
      <c r="AY109" s="221"/>
      <c r="AZ109" s="60"/>
      <c r="BA109" s="60"/>
      <c r="BB109" s="61"/>
    </row>
    <row r="110" spans="6:54" ht="14.25" customHeight="1" x14ac:dyDescent="0.15">
      <c r="F110" s="119" t="s">
        <v>49</v>
      </c>
      <c r="G110" s="54"/>
      <c r="H110" s="120"/>
      <c r="I110" s="121">
        <v>2.5</v>
      </c>
      <c r="J110" s="40"/>
      <c r="K110" s="335" t="s">
        <v>33</v>
      </c>
      <c r="L110" s="122">
        <v>0</v>
      </c>
      <c r="M110" s="54"/>
      <c r="N110" s="54"/>
      <c r="O110" s="40"/>
      <c r="P110" s="40"/>
      <c r="Q110" s="40"/>
      <c r="R110" s="40"/>
      <c r="S110" s="40"/>
      <c r="T110" s="40"/>
      <c r="U110" s="40"/>
      <c r="V110" s="40"/>
      <c r="W110" s="40"/>
      <c r="X110" s="40"/>
      <c r="Y110" s="40"/>
      <c r="Z110" s="40"/>
      <c r="AA110" s="40"/>
      <c r="AB110" s="40"/>
      <c r="AK110" s="423"/>
      <c r="AL110" s="425"/>
      <c r="AM110" s="357" t="s">
        <v>144</v>
      </c>
      <c r="AN110" s="357">
        <f t="shared" ref="AN110" si="34">IF(AL109&lt;=30,7.1,IF(AND(AL109&gt;30,AL109&lt;=50),ROUNDUP(-0.6/20*AL109+8,1),IF(AND(AL109&gt;50,AL109&lt;=100),ROUNDUP(0.1/50*AL109+6.4,1),IF(AND(AL109&gt;100,AL109&lt;=125),ROUNDUP(0.5/25*AL109+4.6,1),ROUNDUP(1.4/25*AL109+0.1,1)))))</f>
        <v>7.1</v>
      </c>
      <c r="AO110" s="357">
        <f t="shared" si="31"/>
        <v>5.9</v>
      </c>
      <c r="AP110" s="357">
        <f>IF(AL109&lt;=25,ROUNDUP(0.8/25*AL109+5.9,1),IF(AND(AL109&gt;25,AL109&lt;=50),ROUNDUP(0.4/25*AL109+6.3,1),IF(AND(AL109&gt;50,AL109&lt;=70),ROUNDUP(0.1/20*AL109+6.85,1),IF(AND(AL109&gt;70,AL109&lt;=100),ROUNDUP(-0.1/30*AL109+7.4333,1),IF(AND(AL109&gt;100,AL109&lt;=150),ROUNDUP(0.4/50*AL109+6.3,1),ROUNDUP(0.7/50*AL109+5.4,1))))))</f>
        <v>5.9</v>
      </c>
      <c r="AQ110" s="357">
        <f>IF(AL109&lt;=25,ROUNDUP(0.7/25*AL109+5.8,1),IF(AND(AL109&gt;25,AL109&lt;=50),ROUNDUP(0.4/25*AL109+6.1,1),IF(AND(AL109&gt;50,AL109&lt;=75),ROUNDUP(0.3/25*AL109+6.3,1),IF(AND(AL109&gt;75,AL109&lt;=100),ROUNDUP(0.1/25*AL109+6.9,1),IF(AND(AL109&gt;100,AL109&lt;=120),7.3,IF(AND(AL109&gt;120,AL109&lt;=160),ROUNDUP(-0.2/40*AL109+7.9,1),ROUNDUP(0.3/40*AL109+5.9,1)))))))</f>
        <v>5.8</v>
      </c>
      <c r="AR110" s="357">
        <f>IF(AL109&lt;=50,ROUNDUP(0.75/100*AL109+5.6,1),ROUNDUP(0.15/100*AL109+6.2,1))</f>
        <v>5.6</v>
      </c>
      <c r="AS110" s="227"/>
      <c r="AT110" s="51">
        <v>50</v>
      </c>
      <c r="AU110" s="59" t="s">
        <v>155</v>
      </c>
      <c r="AV110" s="60"/>
      <c r="AW110" s="60"/>
      <c r="AX110" s="60"/>
      <c r="AY110" s="221"/>
      <c r="AZ110" s="60"/>
      <c r="BA110" s="60"/>
      <c r="BB110" s="61"/>
    </row>
    <row r="111" spans="6:54" ht="14.25" customHeight="1" x14ac:dyDescent="0.15">
      <c r="F111" s="64" t="s">
        <v>34</v>
      </c>
      <c r="G111" s="66"/>
      <c r="H111" s="53"/>
      <c r="I111" s="185">
        <v>7</v>
      </c>
      <c r="J111" s="60"/>
      <c r="K111" s="335" t="s">
        <v>33</v>
      </c>
      <c r="L111" s="40"/>
      <c r="M111" s="40"/>
      <c r="N111" s="40"/>
      <c r="O111" s="336"/>
      <c r="P111" s="40"/>
      <c r="Q111" s="123"/>
      <c r="R111" s="336"/>
      <c r="S111" s="40"/>
      <c r="T111" s="123"/>
      <c r="U111" s="54"/>
      <c r="V111" s="54"/>
      <c r="W111" s="123"/>
      <c r="X111" s="123"/>
      <c r="Y111" s="54"/>
      <c r="Z111" s="54"/>
      <c r="AA111" s="54"/>
      <c r="AB111" s="123"/>
      <c r="AK111" s="423"/>
      <c r="AL111" s="426"/>
      <c r="AM111" s="357" t="s">
        <v>145</v>
      </c>
      <c r="AN111" s="357">
        <f t="shared" ref="AN111" si="35">IF(AL109&lt;=20,6.1,IF(AND(AL109&gt;20,AL109&lt;=50),ROUNDUP(0.4/30*AL109+5.8333,1),IF(AND(AL109&gt;50,AL109&lt;=100),ROUNDUP(0.4/50*AL109+6.1,1),ROUNDUP(3.3/150*AL109+4.7,1))))</f>
        <v>6.1</v>
      </c>
      <c r="AO111" s="357">
        <f t="shared" si="31"/>
        <v>5.6</v>
      </c>
      <c r="AP111" s="357">
        <f>IF(AL109&lt;=8,5.6,IF(AND(AL109&gt;8,AL109&lt;=17),ROUNDUP(0.3/9*AL109+5.3333,1),IF(AND(AL109&gt;17,AL109&lt;=135),ROUNDUP(0.4/118*AL109+5.8423,1),ROUNDUP(1.1/65*AL109+4.0153,1))))</f>
        <v>5.6</v>
      </c>
      <c r="AQ111" s="357">
        <f>IF(AL109&lt;=8,5.6,IF(AND(AL109&gt;8,AL109&lt;=10),ROUNDUP(0.3/2*AL109+4.4,1),IF(AND(AL109&gt;10,AL109&lt;=17),ROUNDUP(0.1/7*AL109+5.7571,1),IF(AND(AL109&gt;17,AL109&lt;=50),ROUNDUP(0.3/33*AL109+5.8454,1),IF(AND(AL109&gt;50,AL109&lt;=150),ROUNDUP(0.3/100*AL109+6.15,1),ROUNDUP(0.2/50*AL109+6,1))))))</f>
        <v>5.6</v>
      </c>
      <c r="AR111" s="357">
        <f>IF(AL109&lt;=10,5.5,IF(AND(AL109&gt;10,AL109&lt;=68),ROUNDUP(0.7/58*AL109+5.3793,1),IF(AND(AL109&gt;68,AL109&lt;=138),ROUNDUP(0.4/70*AL109+5.8114,1),ROUNDUP(0.1/62*AL109+6.3774,1))))</f>
        <v>5.5</v>
      </c>
      <c r="AS111" s="225" t="s">
        <v>145</v>
      </c>
      <c r="AT111" s="51">
        <v>32</v>
      </c>
      <c r="AU111" s="59" t="s">
        <v>156</v>
      </c>
      <c r="AV111" s="60"/>
      <c r="AW111" s="60"/>
      <c r="AX111" s="60"/>
      <c r="AY111" s="221"/>
      <c r="AZ111" s="60"/>
      <c r="BA111" s="60"/>
      <c r="BB111" s="61"/>
    </row>
    <row r="112" spans="6:54" ht="14.25" customHeight="1" x14ac:dyDescent="0.15">
      <c r="F112" s="119" t="s">
        <v>35</v>
      </c>
      <c r="G112" s="54"/>
      <c r="H112" s="120"/>
      <c r="I112" s="88">
        <f>I109+I110+I111</f>
        <v>23.7</v>
      </c>
      <c r="J112" s="40"/>
      <c r="K112" s="335" t="s">
        <v>33</v>
      </c>
      <c r="L112" s="40"/>
      <c r="M112" s="40"/>
      <c r="N112" s="40"/>
      <c r="O112" s="40"/>
      <c r="P112" s="40"/>
      <c r="Q112" s="54"/>
      <c r="R112" s="54"/>
      <c r="S112" s="54"/>
      <c r="T112" s="54"/>
      <c r="U112" s="54"/>
      <c r="V112" s="54"/>
      <c r="W112" s="54"/>
      <c r="X112" s="54"/>
      <c r="Y112" s="54"/>
      <c r="Z112" s="54"/>
      <c r="AA112" s="54"/>
      <c r="AB112" s="40"/>
      <c r="AK112" s="423" t="s">
        <v>163</v>
      </c>
      <c r="AL112" s="424">
        <f t="shared" ref="AL112" si="36">K17</f>
        <v>0</v>
      </c>
      <c r="AM112" s="357" t="s">
        <v>143</v>
      </c>
      <c r="AN112" s="357">
        <f t="shared" ref="AN112" si="37">IF(AL112&lt;=25,5.7,IF(AND(AL112&gt;25,AL112&lt;=75),ROUNDUP(0.3/25*AL112+5.4,1),IF(AND(AL112&gt;75,AL112&lt;=100),ROUNDUP(0.4/25*AL112+5.1,1),ROUNDUP(0.5/25*AL112+4.7,1))))</f>
        <v>5.7</v>
      </c>
      <c r="AO112" s="357">
        <f t="shared" si="31"/>
        <v>5.5</v>
      </c>
      <c r="AP112" s="357">
        <f>IF(AL112&lt;=25,5.5,IF(AND(AL112&gt;25,AL112&lt;=100),ROUNDUP(0.8/75*AL112+5.2333,1),IF(AND(AL112&gt;100,AL112&lt;=150),ROUNDUP(0.7/50*AL112+4.9,1),ROUNDUP(1/50*AL112+4,1))))</f>
        <v>5.5</v>
      </c>
      <c r="AQ112" s="357">
        <f>IF(AL112&lt;=25,5.5,IF(AND(AL112&gt;25,AL112&lt;=100),ROUNDUP(0.7/60*AL112+5.0333,1),ROUNDUP(1/100*AL112+5.2,1)))</f>
        <v>5.5</v>
      </c>
      <c r="AR112" s="357">
        <f>IF(AL112&lt;=50,5.9,IF(AND(AL112&gt;50,AL112&lt;=100),ROUNDUP(0.1/50*AL112+5.8,1),ROUNDUP(0.5/100*AL112+5.5,1)))</f>
        <v>5.9</v>
      </c>
      <c r="AS112" s="226"/>
      <c r="AT112" s="51">
        <v>40</v>
      </c>
      <c r="AU112" s="59" t="s">
        <v>157</v>
      </c>
      <c r="AV112" s="60"/>
      <c r="AW112" s="60"/>
      <c r="AX112" s="60"/>
      <c r="AY112" s="221"/>
      <c r="AZ112" s="60"/>
      <c r="BA112" s="60"/>
      <c r="BB112" s="61"/>
    </row>
    <row r="113" spans="6:54" ht="14.25" customHeight="1" x14ac:dyDescent="0.15">
      <c r="F113" s="64" t="s">
        <v>57</v>
      </c>
      <c r="G113" s="66"/>
      <c r="H113" s="53"/>
      <c r="I113" s="59">
        <v>1.1000000000000001</v>
      </c>
      <c r="J113" s="60"/>
      <c r="K113" s="335"/>
      <c r="L113" s="40"/>
      <c r="M113" s="40"/>
      <c r="N113" s="40"/>
      <c r="O113" s="40"/>
      <c r="P113" s="40"/>
      <c r="Q113" s="40"/>
      <c r="R113" s="40"/>
      <c r="S113" s="40"/>
      <c r="T113" s="40"/>
      <c r="U113" s="40"/>
      <c r="V113" s="40"/>
      <c r="W113" s="40"/>
      <c r="X113" s="40"/>
      <c r="Y113" s="40"/>
      <c r="Z113" s="40"/>
      <c r="AA113" s="40"/>
      <c r="AB113" s="40"/>
      <c r="AK113" s="423"/>
      <c r="AL113" s="425"/>
      <c r="AM113" s="357" t="s">
        <v>144</v>
      </c>
      <c r="AN113" s="357">
        <f t="shared" ref="AN113" si="38">IF(AL112&lt;=30,7.1,IF(AND(AL112&gt;30,AL112&lt;=50),ROUNDUP(-0.6/20*AL112+8,1),IF(AND(AL112&gt;50,AL112&lt;=100),ROUNDUP(0.1/50*AL112+6.4,1),IF(AND(AL112&gt;100,AL112&lt;=125),ROUNDUP(0.5/25*AL112+4.6,1),ROUNDUP(1.4/25*AL112+0.1,1)))))</f>
        <v>7.1</v>
      </c>
      <c r="AO113" s="357">
        <f t="shared" si="31"/>
        <v>5.9</v>
      </c>
      <c r="AP113" s="357">
        <f>IF(AL112&lt;=25,ROUNDUP(0.8/25*AL112+5.9,1),IF(AND(AL112&gt;25,AL112&lt;=50),ROUNDUP(0.4/25*AL112+6.3,1),IF(AND(AL112&gt;50,AL112&lt;=70),ROUNDUP(0.1/20*AL112+6.85,1),IF(AND(AL112&gt;70,AL112&lt;=100),ROUNDUP(-0.1/30*AL112+7.4333,1),IF(AND(AL112&gt;100,AL112&lt;=150),ROUNDUP(0.4/50*AL112+6.3,1),ROUNDUP(0.7/50*AL112+5.4,1))))))</f>
        <v>5.9</v>
      </c>
      <c r="AQ113" s="357">
        <f>IF(AL112&lt;=25,ROUNDUP(0.7/25*AL112+5.8,1),IF(AND(AL112&gt;25,AL112&lt;=50),ROUNDUP(0.4/25*AL112+6.1,1),IF(AND(AL112&gt;50,AL112&lt;=75),ROUNDUP(0.3/25*AL112+6.3,1),IF(AND(AL112&gt;75,AL112&lt;=100),ROUNDUP(0.1/25*AL112+6.9,1),IF(AND(AL112&gt;100,AL112&lt;=120),7.3,IF(AND(AL112&gt;120,AL112&lt;=160),ROUNDUP(-0.2/40*AL112+7.9,1),ROUNDUP(0.3/40*AL112+5.9,1)))))))</f>
        <v>5.8</v>
      </c>
      <c r="AR113" s="357">
        <f>IF(AL112&lt;=50,ROUNDUP(0.75/100*AL112+5.6,1),ROUNDUP(0.15/100*AL112+6.2,1))</f>
        <v>5.6</v>
      </c>
      <c r="AS113" s="227"/>
      <c r="AT113" s="51">
        <v>50</v>
      </c>
      <c r="AU113" s="59" t="s">
        <v>158</v>
      </c>
      <c r="AV113" s="60"/>
      <c r="AW113" s="60"/>
      <c r="AX113" s="60"/>
      <c r="AY113" s="221"/>
      <c r="AZ113" s="60"/>
      <c r="BA113" s="60"/>
      <c r="BB113" s="61"/>
    </row>
    <row r="114" spans="6:54" ht="14.25" customHeight="1" x14ac:dyDescent="0.15">
      <c r="F114" s="406" t="s">
        <v>79</v>
      </c>
      <c r="G114" s="407"/>
      <c r="H114" s="408"/>
      <c r="I114" s="216">
        <f>ROUNDUP(I112*1.1,2)</f>
        <v>26.07</v>
      </c>
      <c r="J114" s="60"/>
      <c r="K114" s="335" t="s">
        <v>80</v>
      </c>
      <c r="L114" s="40"/>
      <c r="M114" s="54"/>
      <c r="N114" s="54"/>
      <c r="O114" s="40"/>
      <c r="P114" s="40"/>
      <c r="Q114" s="40"/>
      <c r="R114" s="40"/>
      <c r="S114" s="40"/>
      <c r="T114" s="40"/>
      <c r="U114" s="40"/>
      <c r="V114" s="40"/>
      <c r="W114" s="40"/>
      <c r="X114" s="40"/>
      <c r="Y114" s="40"/>
      <c r="Z114" s="40"/>
      <c r="AA114" s="40"/>
      <c r="AB114" s="40"/>
      <c r="AK114" s="423"/>
      <c r="AL114" s="426"/>
      <c r="AM114" s="357" t="s">
        <v>145</v>
      </c>
      <c r="AN114" s="357">
        <f t="shared" ref="AN114" si="39">IF(AL112&lt;=20,6.1,IF(AND(AL112&gt;20,AL112&lt;=50),ROUNDUP(0.4/30*AL112+5.8333,1),IF(AND(AL112&gt;50,AL112&lt;=100),ROUNDUP(0.4/50*AL112+6.1,1),ROUNDUP(3.3/150*AL112+4.7,1))))</f>
        <v>6.1</v>
      </c>
      <c r="AO114" s="357">
        <f t="shared" si="31"/>
        <v>5.6</v>
      </c>
      <c r="AP114" s="357">
        <f>IF(AL112&lt;=8,5.6,IF(AND(AL112&gt;8,AL112&lt;=17),ROUNDUP(0.3/9*AL112+5.3333,1),IF(AND(AL112&gt;17,AL112&lt;=135),ROUNDUP(0.4/118*AL112+5.8423,1),ROUNDUP(1.1/65*AL112+4.0153,1))))</f>
        <v>5.6</v>
      </c>
      <c r="AQ114" s="357">
        <f>IF(AL112&lt;=8,5.6,IF(AND(AL112&gt;8,AL112&lt;=10),ROUNDUP(0.3/2*AL112+4.4,1),IF(AND(AL112&gt;10,AL112&lt;=17),ROUNDUP(0.1/7*AL112+5.7571,1),IF(AND(AL112&gt;17,AL112&lt;=50),ROUNDUP(0.3/33*AL112+5.8454,1),IF(AND(AL112&gt;50,AL112&lt;=150),ROUNDUP(0.3/100*AL112+6.15,1),ROUNDUP(0.2/50*AL112+6,1))))))</f>
        <v>5.6</v>
      </c>
      <c r="AR114" s="357">
        <f>IF(AL112&lt;=10,5.5,IF(AND(AL112&gt;10,AL112&lt;=68),ROUNDUP(0.7/58*AL112+5.3793,1),IF(AND(AL112&gt;68,AL112&lt;=138),ROUNDUP(0.4/70*AL112+5.8114,1),ROUNDUP(0.1/62*AL112+6.3774,1))))</f>
        <v>5.5</v>
      </c>
      <c r="BB114" s="50"/>
    </row>
    <row r="115" spans="6:54" ht="14.25" customHeight="1" x14ac:dyDescent="0.15">
      <c r="F115" s="40"/>
      <c r="G115" s="40"/>
      <c r="H115" s="40"/>
      <c r="I115" s="40"/>
      <c r="J115" s="40"/>
      <c r="K115" s="56"/>
      <c r="L115" s="40"/>
      <c r="M115" s="54"/>
      <c r="N115" s="54"/>
      <c r="O115" s="40"/>
      <c r="P115" s="40"/>
      <c r="Q115" s="40"/>
      <c r="R115" s="40"/>
      <c r="S115" s="40"/>
      <c r="T115" s="40"/>
      <c r="U115" s="40"/>
      <c r="V115" s="40"/>
      <c r="W115" s="40"/>
      <c r="X115" s="40"/>
      <c r="Y115" s="40"/>
      <c r="Z115" s="40"/>
      <c r="AA115" s="40"/>
      <c r="AB115" s="40"/>
      <c r="AK115" s="423" t="s">
        <v>164</v>
      </c>
      <c r="AL115" s="424" t="str">
        <f t="shared" ref="AL115" si="40">K20</f>
        <v/>
      </c>
      <c r="AM115" s="357" t="s">
        <v>143</v>
      </c>
      <c r="AN115" s="357" t="e">
        <f t="shared" ref="AN115" si="41">IF(AL115&lt;=25,5.7,IF(AND(AL115&gt;25,AL115&lt;=75),ROUNDUP(0.3/25*AL115+5.4,1),IF(AND(AL115&gt;75,AL115&lt;=100),ROUNDUP(0.4/25*AL115+5.1,1),ROUNDUP(0.5/25*AL115+4.7,1))))</f>
        <v>#VALUE!</v>
      </c>
      <c r="AO115" s="357" t="e">
        <f t="shared" si="31"/>
        <v>#VALUE!</v>
      </c>
      <c r="AP115" s="357" t="e">
        <f>IF(AL115&lt;=25,5.5,IF(AND(AL115&gt;25,AL115&lt;=100),ROUNDUP(0.8/75*AL115+5.2333,1),IF(AND(AL115&gt;100,AL115&lt;=150),ROUNDUP(0.7/50*AL115+4.9,1),ROUNDUP(1/50*AL115+4,1))))</f>
        <v>#VALUE!</v>
      </c>
      <c r="AQ115" s="357" t="e">
        <f>IF(AL115&lt;=25,5.5,IF(AND(AL115&gt;25,AL115&lt;=100),ROUNDUP(0.7/60*AL115+5.0333,1),ROUNDUP(1/100*AL115+5.2,1)))</f>
        <v>#VALUE!</v>
      </c>
      <c r="AR115" s="357" t="e">
        <f>IF(AL115&lt;=50,5.9,IF(AND(AL115&gt;50,AL115&lt;=100),ROUNDUP(0.1/50*AL115+5.8,1),ROUNDUP(0.5/100*AL115+5.5,1)))</f>
        <v>#VALUE!</v>
      </c>
      <c r="BB115" s="50"/>
    </row>
    <row r="116" spans="6:54" ht="14.25" customHeight="1" x14ac:dyDescent="0.15">
      <c r="F116" s="409" t="s">
        <v>50</v>
      </c>
      <c r="G116" s="415"/>
      <c r="H116" s="416"/>
      <c r="I116" s="216">
        <f>ROUNDUP(I114/100,2)</f>
        <v>0.27</v>
      </c>
      <c r="J116" s="60"/>
      <c r="K116" s="335" t="s">
        <v>199</v>
      </c>
      <c r="L116" s="40"/>
      <c r="M116" s="54"/>
      <c r="N116" s="54"/>
      <c r="O116" s="40"/>
      <c r="P116" s="40"/>
      <c r="Q116" s="40"/>
      <c r="R116" s="40"/>
      <c r="S116" s="40"/>
      <c r="T116" s="40"/>
      <c r="U116" s="40"/>
      <c r="V116" s="40"/>
      <c r="W116" s="40"/>
      <c r="X116" s="40"/>
      <c r="Y116" s="40"/>
      <c r="Z116" s="40"/>
      <c r="AA116" s="40"/>
      <c r="AB116" s="40"/>
      <c r="AK116" s="423"/>
      <c r="AL116" s="425"/>
      <c r="AM116" s="357" t="s">
        <v>144</v>
      </c>
      <c r="AN116" s="357" t="e">
        <f t="shared" ref="AN116" si="42">IF(AL115&lt;=30,7.1,IF(AND(AL115&gt;30,AL115&lt;=50),ROUNDUP(-0.6/20*AL115+8,1),IF(AND(AL115&gt;50,AL115&lt;=100),ROUNDUP(0.1/50*AL115+6.4,1),IF(AND(AL115&gt;100,AL115&lt;=125),ROUNDUP(0.5/25*AL115+4.6,1),ROUNDUP(1.4/25*AL115+0.1,1)))))</f>
        <v>#VALUE!</v>
      </c>
      <c r="AO116" s="357" t="e">
        <f t="shared" si="31"/>
        <v>#VALUE!</v>
      </c>
      <c r="AP116" s="357" t="e">
        <f>IF(AL115&lt;=25,ROUNDUP(0.8/25*AL115+5.9,1),IF(AND(AL115&gt;25,AL115&lt;=50),ROUNDUP(0.4/25*AL115+6.3,1),IF(AND(AL115&gt;50,AL115&lt;=70),ROUNDUP(0.1/20*AL115+6.85,1),IF(AND(AL115&gt;70,AL115&lt;=100),ROUNDUP(-0.1/30*AL115+7.4333,1),IF(AND(AL115&gt;100,AL115&lt;=150),ROUNDUP(0.4/50*AL115+6.3,1),ROUNDUP(0.7/50*AL115+5.4,1))))))</f>
        <v>#VALUE!</v>
      </c>
      <c r="AQ116" s="357" t="e">
        <f>IF(AL115&lt;=25,ROUNDUP(0.7/25*AL115+5.8,1),IF(AND(AL115&gt;25,AL115&lt;=50),ROUNDUP(0.4/25*AL115+6.1,1),IF(AND(AL115&gt;50,AL115&lt;=75),ROUNDUP(0.3/25*AL115+6.3,1),IF(AND(AL115&gt;75,AL115&lt;=100),ROUNDUP(0.1/25*AL115+6.9,1),IF(AND(AL115&gt;100,AL115&lt;=120),7.3,IF(AND(AL115&gt;120,AL115&lt;=160),ROUNDUP(-0.2/40*AL115+7.9,1),ROUNDUP(0.3/40*AL115+5.9,1)))))))</f>
        <v>#VALUE!</v>
      </c>
      <c r="AR116" s="357" t="e">
        <f>IF(AL115&lt;=50,ROUNDUP(0.75/100*AL115+5.6,1),ROUNDUP(0.15/100*AL115+6.2,1))</f>
        <v>#VALUE!</v>
      </c>
      <c r="BB116" s="50"/>
    </row>
    <row r="117" spans="6:54" ht="15" customHeight="1" x14ac:dyDescent="0.15">
      <c r="F117" s="54"/>
      <c r="G117" s="54"/>
      <c r="H117" s="54"/>
      <c r="I117" s="88"/>
      <c r="J117" s="40"/>
      <c r="K117" s="336"/>
      <c r="L117" s="40"/>
      <c r="M117" s="54"/>
      <c r="N117" s="54"/>
      <c r="O117" s="40"/>
      <c r="P117" s="40"/>
      <c r="Q117" s="40"/>
      <c r="R117" s="40"/>
      <c r="S117" s="40"/>
      <c r="T117" s="40"/>
      <c r="U117" s="40"/>
      <c r="V117" s="40"/>
      <c r="W117" s="40"/>
      <c r="X117" s="40"/>
      <c r="Y117" s="40"/>
      <c r="Z117" s="40"/>
      <c r="AA117" s="40"/>
      <c r="AB117" s="40"/>
      <c r="AK117" s="423"/>
      <c r="AL117" s="426"/>
      <c r="AM117" s="357" t="s">
        <v>145</v>
      </c>
      <c r="AN117" s="357" t="e">
        <f t="shared" ref="AN117" si="43">IF(AL115&lt;=20,6.1,IF(AND(AL115&gt;20,AL115&lt;=50),ROUNDUP(0.4/30*AL115+5.8333,1),IF(AND(AL115&gt;50,AL115&lt;=100),ROUNDUP(0.4/50*AL115+6.1,1),ROUNDUP(3.3/150*AL115+4.7,1))))</f>
        <v>#VALUE!</v>
      </c>
      <c r="AO117" s="357" t="e">
        <f t="shared" si="31"/>
        <v>#VALUE!</v>
      </c>
      <c r="AP117" s="357" t="e">
        <f>IF(AL115&lt;=8,5.6,IF(AND(AL115&gt;8,AL115&lt;=17),ROUNDUP(0.3/9*AL115+5.3333,1),IF(AND(AL115&gt;17,AL115&lt;=135),ROUNDUP(0.4/118*AL115+5.8423,1),ROUNDUP(1.1/65*AL115+4.0153,1))))</f>
        <v>#VALUE!</v>
      </c>
      <c r="AQ117" s="357" t="e">
        <f>IF(AL115&lt;=8,5.6,IF(AND(AL115&gt;8,AL115&lt;=10),ROUNDUP(0.3/2*AL115+4.4,1),IF(AND(AL115&gt;10,AL115&lt;=17),ROUNDUP(0.1/7*AL115+5.7571,1),IF(AND(AL115&gt;17,AL115&lt;=50),ROUNDUP(0.3/33*AL115+5.8454,1),IF(AND(AL115&gt;50,AL115&lt;=150),ROUNDUP(0.3/100*AL115+6.15,1),ROUNDUP(0.2/50*AL115+6,1))))))</f>
        <v>#VALUE!</v>
      </c>
      <c r="AR117" s="357" t="e">
        <f>IF(AL115&lt;=10,5.5,IF(AND(AL115&gt;10,AL115&lt;=68),ROUNDUP(0.7/58*AL115+5.3793,1),IF(AND(AL115&gt;68,AL115&lt;=138),ROUNDUP(0.4/70*AL115+5.8114,1),ROUNDUP(0.1/62*AL115+6.3774,1))))</f>
        <v>#VALUE!</v>
      </c>
      <c r="BB117" s="50"/>
    </row>
    <row r="118" spans="6:54" ht="15" customHeight="1" x14ac:dyDescent="0.15">
      <c r="AK118" s="423" t="s">
        <v>165</v>
      </c>
      <c r="AL118" s="424" t="str">
        <f t="shared" ref="AL118" si="44">K23</f>
        <v/>
      </c>
      <c r="AM118" s="357" t="s">
        <v>143</v>
      </c>
      <c r="AN118" s="357" t="e">
        <f t="shared" ref="AN118" si="45">IF(AL118&lt;=25,5.7,IF(AND(AL118&gt;25,AL118&lt;=75),ROUNDUP(0.3/25*AL118+5.4,1),IF(AND(AL118&gt;75,AL118&lt;=100),ROUNDUP(0.4/25*AL118+5.1,1),ROUNDUP(0.5/25*AL118+4.7,1))))</f>
        <v>#VALUE!</v>
      </c>
      <c r="AO118" s="357" t="e">
        <f t="shared" si="31"/>
        <v>#VALUE!</v>
      </c>
      <c r="AP118" s="357" t="e">
        <f>IF(AL118&lt;=25,5.5,IF(AND(AL118&gt;25,AL118&lt;=100),ROUNDUP(0.8/75*AL118+5.2333,1),IF(AND(AL118&gt;100,AL118&lt;=150),ROUNDUP(0.7/50*AL118+4.9,1),ROUNDUP(1/50*AL118+4,1))))</f>
        <v>#VALUE!</v>
      </c>
      <c r="AQ118" s="357" t="e">
        <f>IF(AL118&lt;=25,5.5,IF(AND(AL118&gt;25,AL118&lt;=100),ROUNDUP(0.7/60*AL118+5.0333,1),ROUNDUP(1/100*AL118+5.2,1)))</f>
        <v>#VALUE!</v>
      </c>
      <c r="AR118" s="357" t="e">
        <f>IF(AL118&lt;=50,5.9,IF(AND(AL118&gt;50,AL118&lt;=100),ROUNDUP(0.1/50*AL118+5.8,1),ROUNDUP(0.5/100*AL118+5.5,1)))</f>
        <v>#VALUE!</v>
      </c>
      <c r="BB118" s="50"/>
    </row>
    <row r="119" spans="6:54" ht="15" customHeight="1" x14ac:dyDescent="0.15">
      <c r="AK119" s="423"/>
      <c r="AL119" s="425"/>
      <c r="AM119" s="357" t="s">
        <v>144</v>
      </c>
      <c r="AN119" s="357" t="e">
        <f t="shared" ref="AN119" si="46">IF(AL118&lt;=30,7.1,IF(AND(AL118&gt;30,AL118&lt;=50),ROUNDUP(-0.6/20*AL118+8,1),IF(AND(AL118&gt;50,AL118&lt;=100),ROUNDUP(0.1/50*AL118+6.4,1),IF(AND(AL118&gt;100,AL118&lt;=125),ROUNDUP(0.5/25*AL118+4.6,1),ROUNDUP(1.4/25*AL118+0.1,1)))))</f>
        <v>#VALUE!</v>
      </c>
      <c r="AO119" s="357" t="e">
        <f t="shared" si="31"/>
        <v>#VALUE!</v>
      </c>
      <c r="AP119" s="357" t="e">
        <f>IF(AL118&lt;=25,ROUNDUP(0.8/25*AL118+5.9,1),IF(AND(AL118&gt;25,AL118&lt;=50),ROUNDUP(0.4/25*AL118+6.3,1),IF(AND(AL118&gt;50,AL118&lt;=70),ROUNDUP(0.1/20*AL118+6.85,1),IF(AND(AL118&gt;70,AL118&lt;=100),ROUNDUP(-0.1/30*AL118+7.4333,1),IF(AND(AL118&gt;100,AL118&lt;=150),ROUNDUP(0.4/50*AL118+6.3,1),ROUNDUP(0.7/50*AL118+5.4,1))))))</f>
        <v>#VALUE!</v>
      </c>
      <c r="AQ119" s="357" t="e">
        <f>IF(AL118&lt;=25,ROUNDUP(0.7/25*AL118+5.8,1),IF(AND(AL118&gt;25,AL118&lt;=50),ROUNDUP(0.4/25*AL118+6.1,1),IF(AND(AL118&gt;50,AL118&lt;=75),ROUNDUP(0.3/25*AL118+6.3,1),IF(AND(AL118&gt;75,AL118&lt;=100),ROUNDUP(0.1/25*AL118+6.9,1),IF(AND(AL118&gt;100,AL118&lt;=120),7.3,IF(AND(AL118&gt;120,AL118&lt;=160),ROUNDUP(-0.2/40*AL118+7.9,1),ROUNDUP(0.3/40*AL118+5.9,1)))))))</f>
        <v>#VALUE!</v>
      </c>
      <c r="AR119" s="357" t="e">
        <f>IF(AL118&lt;=50,ROUNDUP(0.75/100*AL118+5.6,1),ROUNDUP(0.15/100*AL118+6.2,1))</f>
        <v>#VALUE!</v>
      </c>
      <c r="BB119" s="50"/>
    </row>
    <row r="120" spans="6:54" ht="15" customHeight="1" x14ac:dyDescent="0.15">
      <c r="AK120" s="423"/>
      <c r="AL120" s="426"/>
      <c r="AM120" s="357" t="s">
        <v>145</v>
      </c>
      <c r="AN120" s="357" t="e">
        <f t="shared" ref="AN120" si="47">IF(AL118&lt;=20,6.1,IF(AND(AL118&gt;20,AL118&lt;=50),ROUNDUP(0.4/30*AL118+5.8333,1),IF(AND(AL118&gt;50,AL118&lt;=100),ROUNDUP(0.4/50*AL118+6.1,1),ROUNDUP(3.3/150*AL118+4.7,1))))</f>
        <v>#VALUE!</v>
      </c>
      <c r="AO120" s="357" t="e">
        <f t="shared" si="31"/>
        <v>#VALUE!</v>
      </c>
      <c r="AP120" s="357" t="e">
        <f>IF(AL118&lt;=8,5.6,IF(AND(AL118&gt;8,AL118&lt;=17),ROUNDUP(0.3/9*AL118+5.3333,1),IF(AND(AL118&gt;17,AL118&lt;=135),ROUNDUP(0.4/118*AL118+5.8423,1),ROUNDUP(1.1/65*AL118+4.0153,1))))</f>
        <v>#VALUE!</v>
      </c>
      <c r="AQ120" s="357" t="e">
        <f>IF(AL118&lt;=8,5.6,IF(AND(AL118&gt;8,AL118&lt;=10),ROUNDUP(0.3/2*AL118+4.4,1),IF(AND(AL118&gt;10,AL118&lt;=17),ROUNDUP(0.1/7*AL118+5.7571,1),IF(AND(AL118&gt;17,AL118&lt;=50),ROUNDUP(0.3/33*AL118+5.8454,1),IF(AND(AL118&gt;50,AL118&lt;=150),ROUNDUP(0.3/100*AL118+6.15,1),ROUNDUP(0.2/50*AL118+6,1))))))</f>
        <v>#VALUE!</v>
      </c>
      <c r="AR120" s="357" t="e">
        <f>IF(AL118&lt;=10,5.5,IF(AND(AL118&gt;10,AL118&lt;=68),ROUNDUP(0.7/58*AL118+5.3793,1),IF(AND(AL118&gt;68,AL118&lt;=138),ROUNDUP(0.4/70*AL118+5.8114,1),ROUNDUP(0.1/62*AL118+6.3774,1))))</f>
        <v>#VALUE!</v>
      </c>
      <c r="BB120" s="50"/>
    </row>
    <row r="121" spans="6:54" ht="15" customHeight="1" x14ac:dyDescent="0.15">
      <c r="AK121" s="423" t="s">
        <v>166</v>
      </c>
      <c r="AL121" s="424" t="str">
        <f t="shared" ref="AL121" si="48">K26</f>
        <v/>
      </c>
      <c r="AM121" s="357" t="s">
        <v>143</v>
      </c>
      <c r="AN121" s="357" t="e">
        <f t="shared" ref="AN121" si="49">IF(AL121&lt;=25,5.7,IF(AND(AL121&gt;25,AL121&lt;=75),ROUNDUP(0.3/25*AL121+5.4,1),IF(AND(AL121&gt;75,AL121&lt;=100),ROUNDUP(0.4/25*AL121+5.1,1),ROUNDUP(0.5/25*AL121+4.7,1))))</f>
        <v>#VALUE!</v>
      </c>
      <c r="AO121" s="357" t="e">
        <f t="shared" si="31"/>
        <v>#VALUE!</v>
      </c>
      <c r="AP121" s="357" t="e">
        <f>IF(AL121&lt;=25,5.5,IF(AND(AL121&gt;25,AL121&lt;=100),ROUNDUP(0.8/75*AL121+5.2333,1),IF(AND(AL121&gt;100,AL121&lt;=150),ROUNDUP(0.7/50*AL121+4.9,1),ROUNDUP(1/50*AL121+4,1))))</f>
        <v>#VALUE!</v>
      </c>
      <c r="AQ121" s="357" t="e">
        <f>IF(AL121&lt;=25,5.5,IF(AND(AL121&gt;25,AL121&lt;=100),ROUNDUP(0.7/60*AL121+5.0333,1),ROUNDUP(1/100*AL121+5.2,1)))</f>
        <v>#VALUE!</v>
      </c>
      <c r="AR121" s="357" t="e">
        <f>IF(AL121&lt;=50,5.9,IF(AND(AL121&gt;50,AL121&lt;=100),ROUNDUP(0.1/50*AL121+5.8,1),ROUNDUP(0.5/100*AL121+5.5,1)))</f>
        <v>#VALUE!</v>
      </c>
      <c r="BB121" s="50"/>
    </row>
    <row r="122" spans="6:54" ht="15" customHeight="1" x14ac:dyDescent="0.15">
      <c r="AK122" s="423"/>
      <c r="AL122" s="425"/>
      <c r="AM122" s="357" t="s">
        <v>144</v>
      </c>
      <c r="AN122" s="357" t="e">
        <f t="shared" ref="AN122" si="50">IF(AL121&lt;=30,7.1,IF(AND(AL121&gt;30,AL121&lt;=50),ROUNDUP(-0.6/20*AL121+8,1),IF(AND(AL121&gt;50,AL121&lt;=100),ROUNDUP(0.1/50*AL121+6.4,1),IF(AND(AL121&gt;100,AL121&lt;=125),ROUNDUP(0.5/25*AL121+4.6,1),ROUNDUP(1.4/25*AL121+0.1,1)))))</f>
        <v>#VALUE!</v>
      </c>
      <c r="AO122" s="357" t="e">
        <f t="shared" si="31"/>
        <v>#VALUE!</v>
      </c>
      <c r="AP122" s="357" t="e">
        <f>IF(AL121&lt;=25,ROUNDUP(0.8/25*AL121+5.9,1),IF(AND(AL121&gt;25,AL121&lt;=50),ROUNDUP(0.4/25*AL121+6.3,1),IF(AND(AL121&gt;50,AL121&lt;=70),ROUNDUP(0.1/20*AL121+6.85,1),IF(AND(AL121&gt;70,AL121&lt;=100),ROUNDUP(-0.1/30*AL121+7.4333,1),IF(AND(AL121&gt;100,AL121&lt;=150),ROUNDUP(0.4/50*AL121+6.3,1),ROUNDUP(0.7/50*AL121+5.4,1))))))</f>
        <v>#VALUE!</v>
      </c>
      <c r="AQ122" s="357" t="e">
        <f>IF(AL121&lt;=25,ROUNDUP(0.7/25*AL121+5.8,1),IF(AND(AL121&gt;25,AL121&lt;=50),ROUNDUP(0.4/25*AL121+6.1,1),IF(AND(AL121&gt;50,AL121&lt;=75),ROUNDUP(0.3/25*AL121+6.3,1),IF(AND(AL121&gt;75,AL121&lt;=100),ROUNDUP(0.1/25*AL121+6.9,1),IF(AND(AL121&gt;100,AL121&lt;=120),7.3,IF(AND(AL121&gt;120,AL121&lt;=160),ROUNDUP(-0.2/40*AL121+7.9,1),ROUNDUP(0.3/40*AL121+5.9,1)))))))</f>
        <v>#VALUE!</v>
      </c>
      <c r="AR122" s="357" t="e">
        <f>IF(AL121&lt;=50,ROUNDUP(0.75/100*AL121+5.6,1),ROUNDUP(0.15/100*AL121+6.2,1))</f>
        <v>#VALUE!</v>
      </c>
      <c r="BB122" s="50"/>
    </row>
    <row r="123" spans="6:54" ht="15" customHeight="1" x14ac:dyDescent="0.15">
      <c r="I123"/>
      <c r="J123" s="350"/>
      <c r="K123" s="350"/>
      <c r="L123" s="350"/>
      <c r="M123" s="350"/>
      <c r="N123" s="350"/>
      <c r="O123" s="350"/>
      <c r="P123" s="350"/>
      <c r="Q123" s="350"/>
      <c r="R123" s="350"/>
      <c r="S123" s="350"/>
      <c r="T123" s="350"/>
      <c r="U123" s="350"/>
      <c r="V123" s="350"/>
      <c r="W123" s="350"/>
      <c r="X123" s="350"/>
      <c r="Y123" s="350"/>
      <c r="Z123" s="350"/>
      <c r="AA123" s="350"/>
      <c r="AK123" s="423"/>
      <c r="AL123" s="426"/>
      <c r="AM123" s="357" t="s">
        <v>145</v>
      </c>
      <c r="AN123" s="357" t="e">
        <f t="shared" ref="AN123" si="51">IF(AL121&lt;=20,6.1,IF(AND(AL121&gt;20,AL121&lt;=50),ROUNDUP(0.4/30*AL121+5.8333,1),IF(AND(AL121&gt;50,AL121&lt;=100),ROUNDUP(0.4/50*AL121+6.1,1),ROUNDUP(3.3/150*AL121+4.7,1))))</f>
        <v>#VALUE!</v>
      </c>
      <c r="AO123" s="357" t="e">
        <f t="shared" si="31"/>
        <v>#VALUE!</v>
      </c>
      <c r="AP123" s="357" t="e">
        <f>IF(AL121&lt;=8,5.6,IF(AND(AL121&gt;8,AL121&lt;=17),ROUNDUP(0.3/9*AL121+5.3333,1),IF(AND(AL121&gt;17,AL121&lt;=135),ROUNDUP(0.4/118*AL121+5.8423,1),ROUNDUP(1.1/65*AL121+4.0153,1))))</f>
        <v>#VALUE!</v>
      </c>
      <c r="AQ123" s="357" t="e">
        <f>IF(AL121&lt;=8,5.6,IF(AND(AL121&gt;8,AL121&lt;=10),ROUNDUP(0.3/2*AL121+4.4,1),IF(AND(AL121&gt;10,AL121&lt;=17),ROUNDUP(0.1/7*AL121+5.7571,1),IF(AND(AL121&gt;17,AL121&lt;=50),ROUNDUP(0.3/33*AL121+5.8454,1),IF(AND(AL121&gt;50,AL121&lt;=150),ROUNDUP(0.3/100*AL121+6.15,1),ROUNDUP(0.2/50*AL121+6,1))))))</f>
        <v>#VALUE!</v>
      </c>
      <c r="AR123" s="357" t="e">
        <f>IF(AL121&lt;=10,5.5,IF(AND(AL121&gt;10,AL121&lt;=68),ROUNDUP(0.7/58*AL121+5.3793,1),IF(AND(AL121&gt;68,AL121&lt;=138),ROUNDUP(0.4/70*AL121+5.8114,1),ROUNDUP(0.1/62*AL121+6.3774,1))))</f>
        <v>#VALUE!</v>
      </c>
      <c r="BB123" s="50"/>
    </row>
    <row r="124" spans="6:54" ht="15" customHeight="1" x14ac:dyDescent="0.15">
      <c r="I124" s="264"/>
      <c r="J124" s="350"/>
      <c r="K124" s="350"/>
      <c r="L124" s="350"/>
      <c r="M124" s="350"/>
      <c r="N124" s="350"/>
      <c r="O124" s="350"/>
      <c r="P124" s="350"/>
      <c r="Q124" s="350"/>
      <c r="R124" s="350"/>
      <c r="S124" s="350"/>
      <c r="T124" s="350"/>
      <c r="U124" s="350"/>
      <c r="V124" s="350"/>
      <c r="W124" s="350"/>
      <c r="X124" s="350"/>
      <c r="Y124" s="350"/>
      <c r="Z124" s="350"/>
      <c r="AA124" s="350"/>
      <c r="AK124" s="423" t="s">
        <v>167</v>
      </c>
      <c r="AL124" s="424" t="str">
        <f t="shared" ref="AL124" si="52">K29</f>
        <v/>
      </c>
      <c r="AM124" s="357" t="s">
        <v>143</v>
      </c>
      <c r="AN124" s="357" t="e">
        <f t="shared" ref="AN124" si="53">IF(AL124&lt;=25,5.7,IF(AND(AL124&gt;25,AL124&lt;=75),ROUNDUP(0.3/25*AL124+5.4,1),IF(AND(AL124&gt;75,AL124&lt;=100),ROUNDUP(0.4/25*AL124+5.1,1),ROUNDUP(0.5/25*AL124+4.7,1))))</f>
        <v>#VALUE!</v>
      </c>
      <c r="AO124" s="357" t="e">
        <f t="shared" si="31"/>
        <v>#VALUE!</v>
      </c>
      <c r="AP124" s="357" t="e">
        <f>IF(AL124&lt;=25,5.5,IF(AND(AL124&gt;25,AL124&lt;=100),ROUNDUP(0.8/75*AL124+5.2333,1),IF(AND(AL124&gt;100,AL124&lt;=150),ROUNDUP(0.7/50*AL124+4.9,1),ROUNDUP(1/50*AL124+4,1))))</f>
        <v>#VALUE!</v>
      </c>
      <c r="AQ124" s="357" t="e">
        <f>IF(AL124&lt;=25,5.5,IF(AND(AL124&gt;25,AL124&lt;=100),ROUNDUP(0.7/60*AL124+5.0333,1),ROUNDUP(1/100*AL124+5.2,1)))</f>
        <v>#VALUE!</v>
      </c>
      <c r="AR124" s="357" t="e">
        <f>IF(AL124&lt;=50,5.9,IF(AND(AL124&gt;50,AL124&lt;=100),ROUNDUP(0.1/50*AL124+5.8,1),ROUNDUP(0.5/100*AL124+5.5,1)))</f>
        <v>#VALUE!</v>
      </c>
      <c r="BB124" s="50"/>
    </row>
    <row r="125" spans="6:54" ht="15" customHeight="1" x14ac:dyDescent="0.15">
      <c r="I125" s="350"/>
      <c r="J125" s="350"/>
      <c r="K125" s="350"/>
      <c r="L125" s="350"/>
      <c r="M125" s="350"/>
      <c r="N125" s="350"/>
      <c r="O125" s="350"/>
      <c r="P125" s="350"/>
      <c r="Q125" s="350"/>
      <c r="R125" s="350"/>
      <c r="S125" s="350"/>
      <c r="T125" s="350"/>
      <c r="U125" s="350"/>
      <c r="V125" s="350"/>
      <c r="W125" s="350"/>
      <c r="X125" s="350"/>
      <c r="Y125" s="350"/>
      <c r="Z125" s="350"/>
      <c r="AA125" s="350"/>
      <c r="AK125" s="423"/>
      <c r="AL125" s="425"/>
      <c r="AM125" s="357" t="s">
        <v>144</v>
      </c>
      <c r="AN125" s="357" t="e">
        <f t="shared" ref="AN125" si="54">IF(AL124&lt;=30,7.1,IF(AND(AL124&gt;30,AL124&lt;=50),ROUNDUP(-0.6/20*AL124+8,1),IF(AND(AL124&gt;50,AL124&lt;=100),ROUNDUP(0.1/50*AL124+6.4,1),IF(AND(AL124&gt;100,AL124&lt;=125),ROUNDUP(0.5/25*AL124+4.6,1),ROUNDUP(1.4/25*AL124+0.1,1)))))</f>
        <v>#VALUE!</v>
      </c>
      <c r="AO125" s="357" t="e">
        <f t="shared" si="31"/>
        <v>#VALUE!</v>
      </c>
      <c r="AP125" s="357" t="e">
        <f>IF(AL124&lt;=25,ROUNDUP(0.8/25*AL124+5.9,1),IF(AND(AL124&gt;25,AL124&lt;=50),ROUNDUP(0.4/25*AL124+6.3,1),IF(AND(AL124&gt;50,AL124&lt;=70),ROUNDUP(0.1/20*AL124+6.85,1),IF(AND(AL124&gt;70,AL124&lt;=100),ROUNDUP(-0.1/30*AL124+7.4333,1),IF(AND(AL124&gt;100,AL124&lt;=150),ROUNDUP(0.4/50*AL124+6.3,1),ROUNDUP(0.7/50*AL124+5.4,1))))))</f>
        <v>#VALUE!</v>
      </c>
      <c r="AQ125" s="357" t="e">
        <f>IF(AL124&lt;=25,ROUNDUP(0.7/25*AL124+5.8,1),IF(AND(AL124&gt;25,AL124&lt;=50),ROUNDUP(0.4/25*AL124+6.1,1),IF(AND(AL124&gt;50,AL124&lt;=75),ROUNDUP(0.3/25*AL124+6.3,1),IF(AND(AL124&gt;75,AL124&lt;=100),ROUNDUP(0.1/25*AL124+6.9,1),IF(AND(AL124&gt;100,AL124&lt;=120),7.3,IF(AND(AL124&gt;120,AL124&lt;=160),ROUNDUP(-0.2/40*AL124+7.9,1),ROUNDUP(0.3/40*AL124+5.9,1)))))))</f>
        <v>#VALUE!</v>
      </c>
      <c r="AR125" s="357" t="e">
        <f>IF(AL124&lt;=50,ROUNDUP(0.75/100*AL124+5.6,1),ROUNDUP(0.15/100*AL124+6.2,1))</f>
        <v>#VALUE!</v>
      </c>
      <c r="BB125" s="50"/>
    </row>
    <row r="126" spans="6:54" ht="15" customHeight="1" x14ac:dyDescent="0.15">
      <c r="I126" s="350"/>
      <c r="J126" s="350"/>
      <c r="K126" s="350"/>
      <c r="L126" s="350"/>
      <c r="M126" s="350"/>
      <c r="N126" s="350"/>
      <c r="O126" s="350"/>
      <c r="P126" s="350"/>
      <c r="Q126" s="350"/>
      <c r="R126" s="350"/>
      <c r="S126" s="350"/>
      <c r="T126" s="350"/>
      <c r="U126" s="350"/>
      <c r="V126" s="350"/>
      <c r="W126" s="350"/>
      <c r="X126" s="350"/>
      <c r="Y126" s="350"/>
      <c r="Z126" s="350"/>
      <c r="AA126" s="350"/>
      <c r="AK126" s="423"/>
      <c r="AL126" s="426"/>
      <c r="AM126" s="357" t="s">
        <v>145</v>
      </c>
      <c r="AN126" s="357" t="e">
        <f t="shared" ref="AN126" si="55">IF(AL124&lt;=20,6.1,IF(AND(AL124&gt;20,AL124&lt;=50),ROUNDUP(0.4/30*AL124+5.8333,1),IF(AND(AL124&gt;50,AL124&lt;=100),ROUNDUP(0.4/50*AL124+6.1,1),ROUNDUP(3.3/150*AL124+4.7,1))))</f>
        <v>#VALUE!</v>
      </c>
      <c r="AO126" s="357" t="e">
        <f t="shared" si="31"/>
        <v>#VALUE!</v>
      </c>
      <c r="AP126" s="357" t="e">
        <f>IF(AL124&lt;=8,5.6,IF(AND(AL124&gt;8,AL124&lt;=17),ROUNDUP(0.3/9*AL124+5.3333,1),IF(AND(AL124&gt;17,AL124&lt;=135),ROUNDUP(0.4/118*AL124+5.8423,1),ROUNDUP(1.1/65*AL124+4.0153,1))))</f>
        <v>#VALUE!</v>
      </c>
      <c r="AQ126" s="357" t="e">
        <f>IF(AL124&lt;=8,5.6,IF(AND(AL124&gt;8,AL124&lt;=10),ROUNDUP(0.3/2*AL124+4.4,1),IF(AND(AL124&gt;10,AL124&lt;=17),ROUNDUP(0.1/7*AL124+5.7571,1),IF(AND(AL124&gt;17,AL124&lt;=50),ROUNDUP(0.3/33*AL124+5.8454,1),IF(AND(AL124&gt;50,AL124&lt;=150),ROUNDUP(0.3/100*AL124+6.15,1),ROUNDUP(0.2/50*AL124+6,1))))))</f>
        <v>#VALUE!</v>
      </c>
      <c r="AR126" s="357" t="e">
        <f>IF(AL124&lt;=10,5.5,IF(AND(AL124&gt;10,AL124&lt;=68),ROUNDUP(0.7/58*AL124+5.3793,1),IF(AND(AL124&gt;68,AL124&lt;=138),ROUNDUP(0.4/70*AL124+5.8114,1),ROUNDUP(0.1/62*AL124+6.3774,1))))</f>
        <v>#VALUE!</v>
      </c>
      <c r="BB126" s="50"/>
    </row>
    <row r="127" spans="6:54" ht="15" customHeight="1" x14ac:dyDescent="0.15">
      <c r="I127" s="350"/>
      <c r="J127" s="350"/>
      <c r="K127" s="350"/>
      <c r="L127" s="350"/>
      <c r="M127" s="350"/>
      <c r="N127" s="350"/>
      <c r="O127" s="350"/>
      <c r="P127" s="350"/>
      <c r="Q127" s="350"/>
      <c r="R127" s="350"/>
      <c r="S127" s="350"/>
      <c r="T127" s="350"/>
      <c r="U127" s="350"/>
      <c r="V127" s="350"/>
      <c r="W127" s="350"/>
      <c r="X127" s="350"/>
      <c r="Y127" s="350"/>
      <c r="Z127" s="350"/>
      <c r="AA127" s="350"/>
      <c r="AK127" s="423" t="s">
        <v>168</v>
      </c>
      <c r="AL127" s="424" t="str">
        <f t="shared" ref="AL127" si="56">K32</f>
        <v/>
      </c>
      <c r="AM127" s="357" t="s">
        <v>143</v>
      </c>
      <c r="AN127" s="357" t="e">
        <f t="shared" ref="AN127" si="57">IF(AL127&lt;=25,5.7,IF(AND(AL127&gt;25,AL127&lt;=75),ROUNDUP(0.3/25*AL127+5.4,1),IF(AND(AL127&gt;75,AL127&lt;=100),ROUNDUP(0.4/25*AL127+5.1,1),ROUNDUP(0.5/25*AL127+4.7,1))))</f>
        <v>#VALUE!</v>
      </c>
      <c r="AO127" s="357" t="e">
        <f t="shared" si="31"/>
        <v>#VALUE!</v>
      </c>
      <c r="AP127" s="357" t="e">
        <f>IF(AL127&lt;=25,5.5,IF(AND(AL127&gt;25,AL127&lt;=100),ROUNDUP(0.8/75*AL127+5.2333,1),IF(AND(AL127&gt;100,AL127&lt;=150),ROUNDUP(0.7/50*AL127+4.9,1),ROUNDUP(1/50*AL127+4,1))))</f>
        <v>#VALUE!</v>
      </c>
      <c r="AQ127" s="357" t="e">
        <f>IF(AL127&lt;=25,5.5,IF(AND(AL127&gt;25,AL127&lt;=100),ROUNDUP(0.7/60*AL127+5.0333,1),ROUNDUP(1/100*AL127+5.2,1)))</f>
        <v>#VALUE!</v>
      </c>
      <c r="AR127" s="357" t="e">
        <f>IF(AL127&lt;=50,5.9,IF(AND(AL127&gt;50,AL127&lt;=100),ROUNDUP(0.1/50*AL127+5.8,1),ROUNDUP(0.5/100*AL127+5.5,1)))</f>
        <v>#VALUE!</v>
      </c>
      <c r="BB127" s="50"/>
    </row>
    <row r="128" spans="6:54" ht="15" customHeight="1" x14ac:dyDescent="0.15">
      <c r="I128" s="350"/>
      <c r="J128" s="350"/>
      <c r="K128" s="350"/>
      <c r="L128" s="350"/>
      <c r="M128" s="350"/>
      <c r="N128" s="350"/>
      <c r="O128" s="350"/>
      <c r="P128" s="350"/>
      <c r="Q128" s="350"/>
      <c r="R128" s="350"/>
      <c r="S128" s="350"/>
      <c r="T128" s="350"/>
      <c r="U128" s="350"/>
      <c r="V128" s="350"/>
      <c r="W128" s="350"/>
      <c r="X128" s="350"/>
      <c r="Y128" s="350"/>
      <c r="Z128" s="350"/>
      <c r="AA128" s="350"/>
      <c r="AK128" s="423"/>
      <c r="AL128" s="425"/>
      <c r="AM128" s="357" t="s">
        <v>144</v>
      </c>
      <c r="AN128" s="357" t="e">
        <f t="shared" ref="AN128" si="58">IF(AL127&lt;=30,7.1,IF(AND(AL127&gt;30,AL127&lt;=50),ROUNDUP(-0.6/20*AL127+8,1),IF(AND(AL127&gt;50,AL127&lt;=100),ROUNDUP(0.1/50*AL127+6.4,1),IF(AND(AL127&gt;100,AL127&lt;=125),ROUNDUP(0.5/25*AL127+4.6,1),ROUNDUP(1.4/25*AL127+0.1,1)))))</f>
        <v>#VALUE!</v>
      </c>
      <c r="AO128" s="357" t="e">
        <f t="shared" si="31"/>
        <v>#VALUE!</v>
      </c>
      <c r="AP128" s="357" t="e">
        <f>IF(AL127&lt;=25,ROUNDUP(0.8/25*AL127+5.9,1),IF(AND(AL127&gt;25,AL127&lt;=50),ROUNDUP(0.4/25*AL127+6.3,1),IF(AND(AL127&gt;50,AL127&lt;=70),ROUNDUP(0.1/20*AL127+6.85,1),IF(AND(AL127&gt;70,AL127&lt;=100),ROUNDUP(-0.1/30*AL127+7.4333,1),IF(AND(AL127&gt;100,AL127&lt;=150),ROUNDUP(0.4/50*AL127+6.3,1),ROUNDUP(0.7/50*AL127+5.4,1))))))</f>
        <v>#VALUE!</v>
      </c>
      <c r="AQ128" s="357" t="e">
        <f>IF(AL127&lt;=25,ROUNDUP(0.7/25*AL127+5.8,1),IF(AND(AL127&gt;25,AL127&lt;=50),ROUNDUP(0.4/25*AL127+6.1,1),IF(AND(AL127&gt;50,AL127&lt;=75),ROUNDUP(0.3/25*AL127+6.3,1),IF(AND(AL127&gt;75,AL127&lt;=100),ROUNDUP(0.1/25*AL127+6.9,1),IF(AND(AL127&gt;100,AL127&lt;=120),7.3,IF(AND(AL127&gt;120,AL127&lt;=160),ROUNDUP(-0.2/40*AL127+7.9,1),ROUNDUP(0.3/40*AL127+5.9,1)))))))</f>
        <v>#VALUE!</v>
      </c>
      <c r="AR128" s="357" t="e">
        <f>IF(AL127&lt;=50,ROUNDUP(0.75/100*AL127+5.6,1),ROUNDUP(0.15/100*AL127+6.2,1))</f>
        <v>#VALUE!</v>
      </c>
      <c r="BB128" s="50"/>
    </row>
    <row r="129" spans="9:54" x14ac:dyDescent="0.15">
      <c r="I129" s="350"/>
      <c r="J129" s="350"/>
      <c r="K129" s="350"/>
      <c r="L129" s="350"/>
      <c r="M129" s="350"/>
      <c r="N129" s="350"/>
      <c r="O129" s="350"/>
      <c r="P129" s="350"/>
      <c r="Q129" s="350"/>
      <c r="R129" s="350"/>
      <c r="S129" s="350"/>
      <c r="T129" s="350"/>
      <c r="U129" s="350"/>
      <c r="V129" s="350"/>
      <c r="W129" s="350"/>
      <c r="X129" s="350"/>
      <c r="Y129" s="350"/>
      <c r="Z129" s="350"/>
      <c r="AA129" s="350"/>
      <c r="AK129" s="423"/>
      <c r="AL129" s="426"/>
      <c r="AM129" s="357" t="s">
        <v>145</v>
      </c>
      <c r="AN129" s="357" t="e">
        <f t="shared" ref="AN129" si="59">IF(AL127&lt;=20,6.1,IF(AND(AL127&gt;20,AL127&lt;=50),ROUNDUP(0.4/30*AL127+5.8333,1),IF(AND(AL127&gt;50,AL127&lt;=100),ROUNDUP(0.4/50*AL127+6.1,1),ROUNDUP(3.3/150*AL127+4.7,1))))</f>
        <v>#VALUE!</v>
      </c>
      <c r="AO129" s="357" t="e">
        <f t="shared" si="31"/>
        <v>#VALUE!</v>
      </c>
      <c r="AP129" s="357" t="e">
        <f>IF(AL127&lt;=8,5.6,IF(AND(AL127&gt;8,AL127&lt;=17),ROUNDUP(0.3/9*AL127+5.3333,1),IF(AND(AL127&gt;17,AL127&lt;=135),ROUNDUP(0.4/118*AL127+5.8423,1),ROUNDUP(1.1/65*AL127+4.0153,1))))</f>
        <v>#VALUE!</v>
      </c>
      <c r="AQ129" s="357" t="e">
        <f>IF(AL127&lt;=8,5.6,IF(AND(AL127&gt;8,AL127&lt;=10),ROUNDUP(0.3/2*AL127+4.4,1),IF(AND(AL127&gt;10,AL127&lt;=17),ROUNDUP(0.1/7*AL127+5.7571,1),IF(AND(AL127&gt;17,AL127&lt;=50),ROUNDUP(0.3/33*AL127+5.8454,1),IF(AND(AL127&gt;50,AL127&lt;=150),ROUNDUP(0.3/100*AL127+6.15,1),ROUNDUP(0.2/50*AL127+6,1))))))</f>
        <v>#VALUE!</v>
      </c>
      <c r="AR129" s="357" t="e">
        <f>IF(AL127&lt;=10,5.5,IF(AND(AL127&gt;10,AL127&lt;=68),ROUNDUP(0.7/58*AL127+5.3793,1),IF(AND(AL127&gt;68,AL127&lt;=138),ROUNDUP(0.4/70*AL127+5.8114,1),ROUNDUP(0.1/62*AL127+6.3774,1))))</f>
        <v>#VALUE!</v>
      </c>
      <c r="BB129" s="50"/>
    </row>
    <row r="130" spans="9:54" x14ac:dyDescent="0.15">
      <c r="I130" s="350"/>
      <c r="J130" s="350"/>
      <c r="K130" s="350"/>
      <c r="L130" s="350"/>
      <c r="M130" s="350"/>
      <c r="N130" s="350"/>
      <c r="O130" s="350"/>
      <c r="P130" s="350"/>
      <c r="Q130" s="350"/>
      <c r="R130" s="350"/>
      <c r="S130" s="350"/>
      <c r="T130" s="350"/>
      <c r="U130" s="350"/>
      <c r="V130" s="350"/>
      <c r="W130" s="350"/>
      <c r="X130" s="350"/>
      <c r="Y130" s="350"/>
      <c r="Z130" s="350"/>
      <c r="AA130" s="350"/>
      <c r="AK130" s="423" t="s">
        <v>169</v>
      </c>
      <c r="AL130" s="424" t="str">
        <f t="shared" ref="AL130" si="60">K35</f>
        <v/>
      </c>
      <c r="AM130" s="357" t="s">
        <v>143</v>
      </c>
      <c r="AN130" s="357" t="e">
        <f t="shared" ref="AN130" si="61">IF(AL130&lt;=25,5.7,IF(AND(AL130&gt;25,AL130&lt;=75),ROUNDUP(0.3/25*AL130+5.4,1),IF(AND(AL130&gt;75,AL130&lt;=100),ROUNDUP(0.4/25*AL130+5.1,1),ROUNDUP(0.5/25*AL130+4.7,1))))</f>
        <v>#VALUE!</v>
      </c>
      <c r="AO130" s="357" t="e">
        <f t="shared" si="31"/>
        <v>#VALUE!</v>
      </c>
      <c r="AP130" s="357" t="e">
        <f>IF(AL130&lt;=25,5.5,IF(AND(AL130&gt;25,AL130&lt;=100),ROUNDUP(0.8/75*AL130+5.2333,1),IF(AND(AL130&gt;100,AL130&lt;=150),ROUNDUP(0.7/50*AL130+4.9,1),ROUNDUP(1/50*AL130+4,1))))</f>
        <v>#VALUE!</v>
      </c>
      <c r="AQ130" s="357" t="e">
        <f>IF(AL130&lt;=25,5.5,IF(AND(AL130&gt;25,AL130&lt;=100),ROUNDUP(0.7/60*AL130+5.0333,1),ROUNDUP(1/100*AL130+5.2,1)))</f>
        <v>#VALUE!</v>
      </c>
      <c r="AR130" s="357" t="e">
        <f>IF(AL130&lt;=50,5.9,IF(AND(AL130&gt;50,AL130&lt;=100),ROUNDUP(0.1/50*AL130+5.8,1),ROUNDUP(0.5/100*AL130+5.5,1)))</f>
        <v>#VALUE!</v>
      </c>
      <c r="BB130" s="50"/>
    </row>
    <row r="131" spans="9:54" x14ac:dyDescent="0.15">
      <c r="I131" s="350"/>
      <c r="J131" s="350"/>
      <c r="K131" s="350"/>
      <c r="L131" s="350"/>
      <c r="M131" s="350"/>
      <c r="N131" s="350"/>
      <c r="O131" s="350"/>
      <c r="P131" s="350"/>
      <c r="Q131" s="350"/>
      <c r="R131" s="350"/>
      <c r="S131" s="350"/>
      <c r="T131" s="350"/>
      <c r="U131" s="350"/>
      <c r="V131" s="350"/>
      <c r="W131" s="350"/>
      <c r="X131" s="350"/>
      <c r="Y131" s="350"/>
      <c r="Z131" s="350"/>
      <c r="AA131" s="350"/>
      <c r="AK131" s="423"/>
      <c r="AL131" s="425"/>
      <c r="AM131" s="357" t="s">
        <v>144</v>
      </c>
      <c r="AN131" s="357" t="e">
        <f t="shared" ref="AN131" si="62">IF(AL130&lt;=30,7.1,IF(AND(AL130&gt;30,AL130&lt;=50),ROUNDUP(-0.6/20*AL130+8,1),IF(AND(AL130&gt;50,AL130&lt;=100),ROUNDUP(0.1/50*AL130+6.4,1),IF(AND(AL130&gt;100,AL130&lt;=125),ROUNDUP(0.5/25*AL130+4.6,1),ROUNDUP(1.4/25*AL130+0.1,1)))))</f>
        <v>#VALUE!</v>
      </c>
      <c r="AO131" s="357" t="e">
        <f t="shared" si="31"/>
        <v>#VALUE!</v>
      </c>
      <c r="AP131" s="357" t="e">
        <f>IF(AL130&lt;=25,ROUNDUP(0.8/25*AL130+5.9,1),IF(AND(AL130&gt;25,AL130&lt;=50),ROUNDUP(0.4/25*AL130+6.3,1),IF(AND(AL130&gt;50,AL130&lt;=70),ROUNDUP(0.1/20*AL130+6.85,1),IF(AND(AL130&gt;70,AL130&lt;=100),ROUNDUP(-0.1/30*AL130+7.4333,1),IF(AND(AL130&gt;100,AL130&lt;=150),ROUNDUP(0.4/50*AL130+6.3,1),ROUNDUP(0.7/50*AL130+5.4,1))))))</f>
        <v>#VALUE!</v>
      </c>
      <c r="AQ131" s="357" t="e">
        <f>IF(AL130&lt;=25,ROUNDUP(0.7/25*AL130+5.8,1),IF(AND(AL130&gt;25,AL130&lt;=50),ROUNDUP(0.4/25*AL130+6.1,1),IF(AND(AL130&gt;50,AL130&lt;=75),ROUNDUP(0.3/25*AL130+6.3,1),IF(AND(AL130&gt;75,AL130&lt;=100),ROUNDUP(0.1/25*AL130+6.9,1),IF(AND(AL130&gt;100,AL130&lt;=120),7.3,IF(AND(AL130&gt;120,AL130&lt;=160),ROUNDUP(-0.2/40*AL130+7.9,1),ROUNDUP(0.3/40*AL130+5.9,1)))))))</f>
        <v>#VALUE!</v>
      </c>
      <c r="AR131" s="357" t="e">
        <f>IF(AL130&lt;=50,ROUNDUP(0.75/100*AL130+5.6,1),ROUNDUP(0.15/100*AL130+6.2,1))</f>
        <v>#VALUE!</v>
      </c>
      <c r="BB131" s="50"/>
    </row>
    <row r="132" spans="9:54" x14ac:dyDescent="0.15">
      <c r="I132" s="350"/>
      <c r="J132" s="350"/>
      <c r="K132" s="350"/>
      <c r="L132" s="350"/>
      <c r="M132" s="350"/>
      <c r="N132" s="350"/>
      <c r="O132" s="350"/>
      <c r="P132" s="350"/>
      <c r="Q132" s="350"/>
      <c r="R132" s="350"/>
      <c r="S132" s="350"/>
      <c r="T132" s="350"/>
      <c r="U132" s="350"/>
      <c r="V132" s="350"/>
      <c r="W132" s="350"/>
      <c r="X132" s="350"/>
      <c r="Y132" s="350"/>
      <c r="Z132" s="350"/>
      <c r="AA132" s="350"/>
      <c r="AK132" s="423"/>
      <c r="AL132" s="426"/>
      <c r="AM132" s="357" t="s">
        <v>145</v>
      </c>
      <c r="AN132" s="357" t="e">
        <f t="shared" ref="AN132" si="63">IF(AL130&lt;=20,6.1,IF(AND(AL130&gt;20,AL130&lt;=50),ROUNDUP(0.4/30*AL130+5.8333,1),IF(AND(AL130&gt;50,AL130&lt;=100),ROUNDUP(0.4/50*AL130+6.1,1),ROUNDUP(3.3/150*AL130+4.7,1))))</f>
        <v>#VALUE!</v>
      </c>
      <c r="AO132" s="357" t="e">
        <f t="shared" si="31"/>
        <v>#VALUE!</v>
      </c>
      <c r="AP132" s="357" t="e">
        <f>IF(AL130&lt;=8,5.6,IF(AND(AL130&gt;8,AL130&lt;=17),ROUNDUP(0.3/9*AL130+5.3333,1),IF(AND(AL130&gt;17,AL130&lt;=135),ROUNDUP(0.4/118*AL130+5.8423,1),ROUNDUP(1.1/65*AL130+4.0153,1))))</f>
        <v>#VALUE!</v>
      </c>
      <c r="AQ132" s="357" t="e">
        <f>IF(AL130&lt;=8,5.6,IF(AND(AL130&gt;8,AL130&lt;=10),ROUNDUP(0.3/2*AL130+4.4,1),IF(AND(AL130&gt;10,AL130&lt;=17),ROUNDUP(0.1/7*AL130+5.7571,1),IF(AND(AL130&gt;17,AL130&lt;=50),ROUNDUP(0.3/33*AL130+5.8454,1),IF(AND(AL130&gt;50,AL130&lt;=150),ROUNDUP(0.3/100*AL130+6.15,1),ROUNDUP(0.2/50*AL130+6,1))))))</f>
        <v>#VALUE!</v>
      </c>
      <c r="AR132" s="357" t="e">
        <f>IF(AL130&lt;=10,5.5,IF(AND(AL130&gt;10,AL130&lt;=68),ROUNDUP(0.7/58*AL130+5.3793,1),IF(AND(AL130&gt;68,AL130&lt;=138),ROUNDUP(0.4/70*AL130+5.8114,1),ROUNDUP(0.1/62*AL130+6.3774,1))))</f>
        <v>#VALUE!</v>
      </c>
      <c r="BB132" s="50"/>
    </row>
    <row r="133" spans="9:54" x14ac:dyDescent="0.15">
      <c r="I133" s="350"/>
      <c r="J133" s="350"/>
      <c r="K133" s="350"/>
      <c r="L133" s="350"/>
      <c r="M133" s="350"/>
      <c r="N133" s="350"/>
      <c r="O133" s="350"/>
      <c r="P133" s="350"/>
      <c r="Q133" s="350"/>
      <c r="R133" s="350"/>
      <c r="S133" s="350"/>
      <c r="T133" s="350"/>
      <c r="U133" s="350"/>
      <c r="V133" s="350"/>
      <c r="W133" s="350"/>
      <c r="X133" s="350"/>
      <c r="Y133" s="350"/>
      <c r="Z133" s="350"/>
      <c r="AA133" s="350"/>
      <c r="AK133" s="423" t="s">
        <v>170</v>
      </c>
      <c r="AL133" s="424" t="str">
        <f t="shared" ref="AL133" si="64">K38</f>
        <v/>
      </c>
      <c r="AM133" s="357" t="s">
        <v>143</v>
      </c>
      <c r="AN133" s="357" t="e">
        <f t="shared" ref="AN133" si="65">IF(AL133&lt;=25,5.7,IF(AND(AL133&gt;25,AL133&lt;=75),ROUNDUP(0.3/25*AL133+5.4,1),IF(AND(AL133&gt;75,AL133&lt;=100),ROUNDUP(0.4/25*AL133+5.1,1),ROUNDUP(0.5/25*AL133+4.7,1))))</f>
        <v>#VALUE!</v>
      </c>
      <c r="AO133" s="357" t="e">
        <f t="shared" si="31"/>
        <v>#VALUE!</v>
      </c>
      <c r="AP133" s="357" t="e">
        <f>IF(AL133&lt;=25,5.5,IF(AND(AL133&gt;25,AL133&lt;=100),ROUNDUP(0.8/75*AL133+5.2333,1),IF(AND(AL133&gt;100,AL133&lt;=150),ROUNDUP(0.7/50*AL133+4.9,1),ROUNDUP(1/50*AL133+4,1))))</f>
        <v>#VALUE!</v>
      </c>
      <c r="AQ133" s="357" t="e">
        <f>IF(AL133&lt;=25,5.5,IF(AND(AL133&gt;25,AL133&lt;=100),ROUNDUP(0.7/60*AL133+5.0333,1),ROUNDUP(1/100*AL133+5.2,1)))</f>
        <v>#VALUE!</v>
      </c>
      <c r="AR133" s="357" t="e">
        <f>IF(AL133&lt;=50,5.9,IF(AND(AL133&gt;50,AL133&lt;=100),ROUNDUP(0.1/50*AL133+5.8,1),ROUNDUP(0.5/100*AL133+5.5,1)))</f>
        <v>#VALUE!</v>
      </c>
      <c r="BB133" s="50"/>
    </row>
    <row r="134" spans="9:54" x14ac:dyDescent="0.15">
      <c r="I134" s="350"/>
      <c r="J134" s="350"/>
      <c r="K134" s="350"/>
      <c r="L134" s="350"/>
      <c r="M134" s="350"/>
      <c r="N134" s="350"/>
      <c r="O134" s="350"/>
      <c r="P134" s="350"/>
      <c r="Q134" s="350"/>
      <c r="R134" s="350"/>
      <c r="S134" s="350"/>
      <c r="T134" s="350"/>
      <c r="U134" s="350"/>
      <c r="V134" s="350"/>
      <c r="W134" s="350"/>
      <c r="X134" s="350"/>
      <c r="Y134" s="350"/>
      <c r="Z134" s="350"/>
      <c r="AA134" s="350"/>
      <c r="AK134" s="423"/>
      <c r="AL134" s="425"/>
      <c r="AM134" s="357" t="s">
        <v>144</v>
      </c>
      <c r="AN134" s="357" t="e">
        <f t="shared" ref="AN134" si="66">IF(AL133&lt;=30,7.1,IF(AND(AL133&gt;30,AL133&lt;=50),ROUNDUP(-0.6/20*AL133+8,1),IF(AND(AL133&gt;50,AL133&lt;=100),ROUNDUP(0.1/50*AL133+6.4,1),IF(AND(AL133&gt;100,AL133&lt;=125),ROUNDUP(0.5/25*AL133+4.6,1),ROUNDUP(1.4/25*AL133+0.1,1)))))</f>
        <v>#VALUE!</v>
      </c>
      <c r="AO134" s="357" t="e">
        <f t="shared" si="31"/>
        <v>#VALUE!</v>
      </c>
      <c r="AP134" s="357" t="e">
        <f>IF(AL133&lt;=25,ROUNDUP(0.8/25*AL133+5.9,1),IF(AND(AL133&gt;25,AL133&lt;=50),ROUNDUP(0.4/25*AL133+6.3,1),IF(AND(AL133&gt;50,AL133&lt;=70),ROUNDUP(0.1/20*AL133+6.85,1),IF(AND(AL133&gt;70,AL133&lt;=100),ROUNDUP(-0.1/30*AL133+7.4333,1),IF(AND(AL133&gt;100,AL133&lt;=150),ROUNDUP(0.4/50*AL133+6.3,1),ROUNDUP(0.7/50*AL133+5.4,1))))))</f>
        <v>#VALUE!</v>
      </c>
      <c r="AQ134" s="357" t="e">
        <f>IF(AL133&lt;=25,ROUNDUP(0.7/25*AL133+5.8,1),IF(AND(AL133&gt;25,AL133&lt;=50),ROUNDUP(0.4/25*AL133+6.1,1),IF(AND(AL133&gt;50,AL133&lt;=75),ROUNDUP(0.3/25*AL133+6.3,1),IF(AND(AL133&gt;75,AL133&lt;=100),ROUNDUP(0.1/25*AL133+6.9,1),IF(AND(AL133&gt;100,AL133&lt;=120),7.3,IF(AND(AL133&gt;120,AL133&lt;=160),ROUNDUP(-0.2/40*AL133+7.9,1),ROUNDUP(0.3/40*AL133+5.9,1)))))))</f>
        <v>#VALUE!</v>
      </c>
      <c r="AR134" s="357" t="e">
        <f>IF(AL133&lt;=50,ROUNDUP(0.75/100*AL133+5.6,1),ROUNDUP(0.15/100*AL133+6.2,1))</f>
        <v>#VALUE!</v>
      </c>
      <c r="BB134" s="50"/>
    </row>
    <row r="135" spans="9:54" x14ac:dyDescent="0.15">
      <c r="I135" s="350"/>
      <c r="J135" s="350"/>
      <c r="K135" s="350"/>
      <c r="L135" s="350"/>
      <c r="M135" s="350"/>
      <c r="N135" s="350"/>
      <c r="O135" s="350"/>
      <c r="P135" s="350"/>
      <c r="Q135" s="350"/>
      <c r="R135" s="350"/>
      <c r="S135" s="350"/>
      <c r="T135" s="350"/>
      <c r="U135" s="350"/>
      <c r="V135" s="350"/>
      <c r="W135" s="350"/>
      <c r="X135" s="350"/>
      <c r="Y135" s="350"/>
      <c r="Z135" s="350"/>
      <c r="AA135" s="350"/>
      <c r="AK135" s="423"/>
      <c r="AL135" s="426"/>
      <c r="AM135" s="357" t="s">
        <v>145</v>
      </c>
      <c r="AN135" s="357" t="e">
        <f t="shared" ref="AN135" si="67">IF(AL133&lt;=20,6.1,IF(AND(AL133&gt;20,AL133&lt;=50),ROUNDUP(0.4/30*AL133+5.8333,1),IF(AND(AL133&gt;50,AL133&lt;=100),ROUNDUP(0.4/50*AL133+6.1,1),ROUNDUP(3.3/150*AL133+4.7,1))))</f>
        <v>#VALUE!</v>
      </c>
      <c r="AO135" s="357" t="e">
        <f t="shared" si="31"/>
        <v>#VALUE!</v>
      </c>
      <c r="AP135" s="357" t="e">
        <f>IF(AL133&lt;=8,5.6,IF(AND(AL133&gt;8,AL133&lt;=17),ROUNDUP(0.3/9*AL133+5.3333,1),IF(AND(AL133&gt;17,AL133&lt;=135),ROUNDUP(0.4/118*AL133+5.8423,1),ROUNDUP(1.1/65*AL133+4.0153,1))))</f>
        <v>#VALUE!</v>
      </c>
      <c r="AQ135" s="357" t="e">
        <f>IF(AL133&lt;=8,5.6,IF(AND(AL133&gt;8,AL133&lt;=10),ROUNDUP(0.3/2*AL133+4.4,1),IF(AND(AL133&gt;10,AL133&lt;=17),ROUNDUP(0.1/7*AL133+5.7571,1),IF(AND(AL133&gt;17,AL133&lt;=50),ROUNDUP(0.3/33*AL133+5.8454,1),IF(AND(AL133&gt;50,AL133&lt;=150),ROUNDUP(0.3/100*AL133+6.15,1),ROUNDUP(0.2/50*AL133+6,1))))))</f>
        <v>#VALUE!</v>
      </c>
      <c r="AR135" s="357" t="e">
        <f>IF(AL133&lt;=10,5.5,IF(AND(AL133&gt;10,AL133&lt;=68),ROUNDUP(0.7/58*AL133+5.3793,1),IF(AND(AL133&gt;68,AL133&lt;=138),ROUNDUP(0.4/70*AL133+5.8114,1),ROUNDUP(0.1/62*AL133+6.3774,1))))</f>
        <v>#VALUE!</v>
      </c>
      <c r="BB135" s="50"/>
    </row>
    <row r="136" spans="9:54" x14ac:dyDescent="0.15">
      <c r="I136" s="350"/>
      <c r="J136" s="350"/>
      <c r="K136" s="350"/>
      <c r="L136" s="350"/>
      <c r="M136" s="350"/>
      <c r="N136" s="350"/>
      <c r="O136" s="350"/>
      <c r="P136" s="350"/>
      <c r="Q136" s="350"/>
      <c r="R136" s="350"/>
      <c r="S136" s="350"/>
      <c r="T136" s="350"/>
      <c r="U136" s="350"/>
      <c r="V136" s="350"/>
      <c r="W136" s="350"/>
      <c r="X136" s="350"/>
      <c r="Y136" s="350"/>
      <c r="Z136" s="350"/>
      <c r="AA136" s="350"/>
      <c r="AK136" s="423" t="s">
        <v>171</v>
      </c>
      <c r="AL136" s="424" t="str">
        <f t="shared" ref="AL136" si="68">K41</f>
        <v/>
      </c>
      <c r="AM136" s="357" t="s">
        <v>143</v>
      </c>
      <c r="AN136" s="357" t="e">
        <f t="shared" ref="AN136" si="69">IF(AL136&lt;=25,5.7,IF(AND(AL136&gt;25,AL136&lt;=75),ROUNDUP(0.3/25*AL136+5.4,1),IF(AND(AL136&gt;75,AL136&lt;=100),ROUNDUP(0.4/25*AL136+5.1,1),ROUNDUP(0.5/25*AL136+4.7,1))))</f>
        <v>#VALUE!</v>
      </c>
      <c r="AO136" s="357" t="e">
        <f t="shared" si="31"/>
        <v>#VALUE!</v>
      </c>
      <c r="AP136" s="357" t="e">
        <f>IF(AL136&lt;=25,5.5,IF(AND(AL136&gt;25,AL136&lt;=100),ROUNDUP(0.8/75*AL136+5.2333,1),IF(AND(AL136&gt;100,AL136&lt;=150),ROUNDUP(0.7/50*AL136+4.9,1),ROUNDUP(1/50*AL136+4,1))))</f>
        <v>#VALUE!</v>
      </c>
      <c r="AQ136" s="357" t="e">
        <f>IF(AL136&lt;=25,5.5,IF(AND(AL136&gt;25,AL136&lt;=100),ROUNDUP(0.7/60*AL136+5.0333,1),ROUNDUP(1/100*AL136+5.2,1)))</f>
        <v>#VALUE!</v>
      </c>
      <c r="AR136" s="357" t="e">
        <f>IF(AL136&lt;=50,5.9,IF(AND(AL136&gt;50,AL136&lt;=100),ROUNDUP(0.1/50*AL136+5.8,1),ROUNDUP(0.5/100*AL136+5.5,1)))</f>
        <v>#VALUE!</v>
      </c>
      <c r="BB136" s="50"/>
    </row>
    <row r="137" spans="9:54" x14ac:dyDescent="0.15">
      <c r="I137" s="350"/>
      <c r="J137" s="350"/>
      <c r="K137" s="350"/>
      <c r="L137" s="350"/>
      <c r="M137" s="350"/>
      <c r="N137" s="350"/>
      <c r="O137" s="350"/>
      <c r="P137" s="350"/>
      <c r="Q137" s="350"/>
      <c r="R137" s="350"/>
      <c r="S137" s="350"/>
      <c r="T137" s="350"/>
      <c r="U137" s="350"/>
      <c r="V137" s="350"/>
      <c r="W137" s="350"/>
      <c r="X137" s="350"/>
      <c r="Y137" s="350"/>
      <c r="Z137" s="350"/>
      <c r="AA137" s="350"/>
      <c r="AK137" s="423"/>
      <c r="AL137" s="425"/>
      <c r="AM137" s="357" t="s">
        <v>144</v>
      </c>
      <c r="AN137" s="357" t="e">
        <f t="shared" ref="AN137" si="70">IF(AL136&lt;=30,7.1,IF(AND(AL136&gt;30,AL136&lt;=50),ROUNDUP(-0.6/20*AL136+8,1),IF(AND(AL136&gt;50,AL136&lt;=100),ROUNDUP(0.1/50*AL136+6.4,1),IF(AND(AL136&gt;100,AL136&lt;=125),ROUNDUP(0.5/25*AL136+4.6,1),ROUNDUP(1.4/25*AL136+0.1,1)))))</f>
        <v>#VALUE!</v>
      </c>
      <c r="AO137" s="357" t="e">
        <f t="shared" si="31"/>
        <v>#VALUE!</v>
      </c>
      <c r="AP137" s="357" t="e">
        <f>IF(AL136&lt;=25,ROUNDUP(0.8/25*AL136+5.9,1),IF(AND(AL136&gt;25,AL136&lt;=50),ROUNDUP(0.4/25*AL136+6.3,1),IF(AND(AL136&gt;50,AL136&lt;=70),ROUNDUP(0.1/20*AL136+6.85,1),IF(AND(AL136&gt;70,AL136&lt;=100),ROUNDUP(-0.1/30*AL136+7.4333,1),IF(AND(AL136&gt;100,AL136&lt;=150),ROUNDUP(0.4/50*AL136+6.3,1),ROUNDUP(0.7/50*AL136+5.4,1))))))</f>
        <v>#VALUE!</v>
      </c>
      <c r="AQ137" s="357" t="e">
        <f>IF(AL136&lt;=25,ROUNDUP(0.7/25*AL136+5.8,1),IF(AND(AL136&gt;25,AL136&lt;=50),ROUNDUP(0.4/25*AL136+6.1,1),IF(AND(AL136&gt;50,AL136&lt;=75),ROUNDUP(0.3/25*AL136+6.3,1),IF(AND(AL136&gt;75,AL136&lt;=100),ROUNDUP(0.1/25*AL136+6.9,1),IF(AND(AL136&gt;100,AL136&lt;=120),7.3,IF(AND(AL136&gt;120,AL136&lt;=160),ROUNDUP(-0.2/40*AL136+7.9,1),ROUNDUP(0.3/40*AL136+5.9,1)))))))</f>
        <v>#VALUE!</v>
      </c>
      <c r="AR137" s="357" t="e">
        <f>IF(AL136&lt;=50,ROUNDUP(0.75/100*AL136+5.6,1),ROUNDUP(0.15/100*AL136+6.2,1))</f>
        <v>#VALUE!</v>
      </c>
      <c r="BB137" s="50"/>
    </row>
    <row r="138" spans="9:54" x14ac:dyDescent="0.15">
      <c r="I138" s="350"/>
      <c r="J138" s="350"/>
      <c r="K138" s="350"/>
      <c r="L138" s="350"/>
      <c r="M138" s="350"/>
      <c r="N138" s="350"/>
      <c r="O138" s="350"/>
      <c r="P138" s="350"/>
      <c r="Q138" s="350"/>
      <c r="R138" s="350"/>
      <c r="S138" s="350"/>
      <c r="T138" s="350"/>
      <c r="U138" s="350"/>
      <c r="V138" s="350"/>
      <c r="W138" s="350"/>
      <c r="X138" s="350"/>
      <c r="Y138" s="350"/>
      <c r="Z138" s="350"/>
      <c r="AA138" s="350"/>
      <c r="AK138" s="423"/>
      <c r="AL138" s="426"/>
      <c r="AM138" s="357" t="s">
        <v>145</v>
      </c>
      <c r="AN138" s="357" t="e">
        <f t="shared" ref="AN138" si="71">IF(AL136&lt;=20,6.1,IF(AND(AL136&gt;20,AL136&lt;=50),ROUNDUP(0.4/30*AL136+5.8333,1),IF(AND(AL136&gt;50,AL136&lt;=100),ROUNDUP(0.4/50*AL136+6.1,1),ROUNDUP(3.3/150*AL136+4.7,1))))</f>
        <v>#VALUE!</v>
      </c>
      <c r="AO138" s="357" t="e">
        <f t="shared" si="31"/>
        <v>#VALUE!</v>
      </c>
      <c r="AP138" s="357" t="e">
        <f>IF(AL136&lt;=8,5.6,IF(AND(AL136&gt;8,AL136&lt;=17),ROUNDUP(0.3/9*AL136+5.3333,1),IF(AND(AL136&gt;17,AL136&lt;=135),ROUNDUP(0.4/118*AL136+5.8423,1),ROUNDUP(1.1/65*AL136+4.0153,1))))</f>
        <v>#VALUE!</v>
      </c>
      <c r="AQ138" s="357" t="e">
        <f>IF(AL136&lt;=8,5.6,IF(AND(AL136&gt;8,AL136&lt;=10),ROUNDUP(0.3/2*AL136+4.4,1),IF(AND(AL136&gt;10,AL136&lt;=17),ROUNDUP(0.1/7*AL136+5.7571,1),IF(AND(AL136&gt;17,AL136&lt;=50),ROUNDUP(0.3/33*AL136+5.8454,1),IF(AND(AL136&gt;50,AL136&lt;=150),ROUNDUP(0.3/100*AL136+6.15,1),ROUNDUP(0.2/50*AL136+6,1))))))</f>
        <v>#VALUE!</v>
      </c>
      <c r="AR138" s="357" t="e">
        <f>IF(AL136&lt;=10,5.5,IF(AND(AL136&gt;10,AL136&lt;=68),ROUNDUP(0.7/58*AL136+5.3793,1),IF(AND(AL136&gt;68,AL136&lt;=138),ROUNDUP(0.4/70*AL136+5.8114,1),ROUNDUP(0.1/62*AL136+6.3774,1))))</f>
        <v>#VALUE!</v>
      </c>
      <c r="BB138" s="50"/>
    </row>
    <row r="139" spans="9:54" x14ac:dyDescent="0.15">
      <c r="I139" s="350"/>
      <c r="J139" s="350"/>
      <c r="K139" s="350"/>
      <c r="L139" s="350"/>
      <c r="M139" s="350"/>
      <c r="N139" s="350"/>
      <c r="O139" s="350"/>
      <c r="P139" s="350"/>
      <c r="Q139" s="350"/>
      <c r="R139" s="350"/>
      <c r="S139" s="350"/>
      <c r="T139" s="350"/>
      <c r="U139" s="350"/>
      <c r="V139" s="350"/>
      <c r="W139" s="350"/>
      <c r="X139" s="350"/>
      <c r="Y139" s="350"/>
      <c r="Z139" s="350"/>
      <c r="AA139" s="350"/>
      <c r="AK139" s="40"/>
      <c r="AL139" s="40"/>
      <c r="AM139" s="40"/>
      <c r="AN139" s="40"/>
      <c r="AO139" s="40"/>
      <c r="AP139" s="40"/>
    </row>
    <row r="140" spans="9:54" x14ac:dyDescent="0.15">
      <c r="AK140" s="55"/>
      <c r="AL140" s="40"/>
      <c r="AM140" s="40"/>
      <c r="AN140" s="40"/>
      <c r="AO140" s="40"/>
      <c r="AP140" s="40"/>
    </row>
    <row r="141" spans="9:54" x14ac:dyDescent="0.15">
      <c r="AK141" s="351" t="e">
        <f>表紙!#REF!</f>
        <v>#REF!</v>
      </c>
      <c r="AL141" s="340"/>
      <c r="AM141" s="342" t="s">
        <v>183</v>
      </c>
      <c r="AN141" s="343"/>
      <c r="AO141" s="344"/>
      <c r="AP141" s="40"/>
    </row>
    <row r="142" spans="9:54" x14ac:dyDescent="0.15">
      <c r="I142" s="350"/>
      <c r="J142" s="350"/>
      <c r="K142" s="350"/>
      <c r="L142" s="350"/>
      <c r="M142" s="350"/>
      <c r="N142" s="350"/>
      <c r="O142" s="350"/>
      <c r="P142" s="350"/>
      <c r="Q142" s="350"/>
      <c r="R142" s="350"/>
      <c r="S142" s="350"/>
      <c r="T142" s="350"/>
      <c r="U142" s="350"/>
      <c r="V142" s="350"/>
      <c r="W142" s="350"/>
      <c r="X142" s="350"/>
      <c r="Y142" s="350"/>
      <c r="Z142" s="350"/>
      <c r="AA142" s="350"/>
      <c r="AK142" s="340"/>
      <c r="AL142" s="238"/>
      <c r="AM142" s="284" t="s">
        <v>186</v>
      </c>
      <c r="AN142" s="345"/>
      <c r="AO142" s="346"/>
      <c r="AP142" s="40"/>
    </row>
    <row r="143" spans="9:54" x14ac:dyDescent="0.15">
      <c r="I143" s="350"/>
      <c r="J143" s="350"/>
      <c r="K143" s="350"/>
      <c r="L143" s="350"/>
      <c r="M143" s="350"/>
      <c r="N143" s="350"/>
      <c r="O143" s="350"/>
      <c r="P143" s="350"/>
      <c r="Q143" s="350"/>
      <c r="R143" s="350"/>
      <c r="S143" s="350"/>
      <c r="T143" s="350"/>
      <c r="U143" s="350"/>
      <c r="V143" s="350"/>
      <c r="W143" s="350"/>
      <c r="X143" s="350"/>
      <c r="Y143" s="350"/>
      <c r="Z143" s="350"/>
      <c r="AA143" s="350"/>
      <c r="AK143" s="341" t="e">
        <f>IF(AK141=AM141,"水直４個計算例",IF(AK141=AM142,"専ポ４個計算例",IF(AK141=AM143,"ブポ４個計算例")))</f>
        <v>#REF!</v>
      </c>
      <c r="AM143" s="347" t="s">
        <v>184</v>
      </c>
      <c r="AN143" s="348"/>
      <c r="AO143" s="349"/>
      <c r="AP143" s="40"/>
    </row>
    <row r="144" spans="9:54" x14ac:dyDescent="0.15">
      <c r="I144" s="350"/>
      <c r="J144" s="350"/>
      <c r="K144" s="350"/>
      <c r="L144" s="350"/>
      <c r="M144" s="350"/>
      <c r="N144" s="350"/>
      <c r="O144" s="350"/>
      <c r="P144" s="350"/>
      <c r="Q144" s="350"/>
      <c r="R144" s="350"/>
      <c r="S144" s="350"/>
      <c r="T144" s="350"/>
      <c r="U144" s="350"/>
      <c r="V144" s="350"/>
      <c r="W144" s="350"/>
      <c r="X144" s="350"/>
      <c r="Y144" s="350"/>
      <c r="Z144" s="350"/>
      <c r="AA144" s="350"/>
      <c r="AK144" s="40"/>
      <c r="AL144" s="40"/>
      <c r="AM144" s="40"/>
      <c r="AN144" s="40"/>
      <c r="AO144" s="40"/>
      <c r="AP144" s="40"/>
    </row>
    <row r="145" spans="9:42" x14ac:dyDescent="0.15">
      <c r="I145" s="350"/>
      <c r="J145" s="350"/>
      <c r="K145" s="350"/>
      <c r="L145" s="350"/>
      <c r="M145" s="350"/>
      <c r="N145" s="350"/>
      <c r="O145" s="350"/>
      <c r="P145" s="350"/>
      <c r="Q145" s="350"/>
      <c r="R145" s="350"/>
      <c r="S145" s="350"/>
      <c r="T145" s="350"/>
      <c r="U145" s="350"/>
      <c r="V145" s="350"/>
      <c r="W145" s="350"/>
      <c r="X145" s="350"/>
      <c r="Y145" s="350"/>
      <c r="Z145" s="350"/>
      <c r="AA145" s="350"/>
      <c r="AK145" s="40"/>
      <c r="AL145" s="40"/>
      <c r="AM145" s="230"/>
      <c r="AN145" s="230"/>
      <c r="AO145" s="40"/>
      <c r="AP145" s="40"/>
    </row>
    <row r="146" spans="9:42" x14ac:dyDescent="0.15">
      <c r="I146" s="350"/>
      <c r="J146" s="350"/>
      <c r="K146" s="350"/>
      <c r="L146" s="350"/>
      <c r="M146" s="350"/>
      <c r="N146" s="350"/>
      <c r="O146" s="350"/>
      <c r="P146" s="350"/>
      <c r="Q146" s="350"/>
      <c r="R146" s="350"/>
      <c r="S146" s="350"/>
      <c r="T146" s="350"/>
      <c r="U146" s="350"/>
      <c r="V146" s="350"/>
      <c r="W146" s="350"/>
      <c r="X146" s="350"/>
      <c r="Y146" s="350"/>
      <c r="Z146" s="350"/>
      <c r="AA146" s="350"/>
      <c r="AK146" s="55"/>
      <c r="AL146" s="40"/>
      <c r="AM146" s="40"/>
      <c r="AN146" s="40"/>
      <c r="AO146" s="40"/>
      <c r="AP146" s="40"/>
    </row>
    <row r="147" spans="9:42" x14ac:dyDescent="0.15">
      <c r="I147" s="350"/>
      <c r="J147" s="350"/>
      <c r="K147" s="350"/>
      <c r="L147" s="350"/>
      <c r="M147" s="350"/>
      <c r="N147" s="350"/>
      <c r="O147" s="350"/>
      <c r="P147" s="350"/>
      <c r="Q147" s="350"/>
      <c r="R147" s="350"/>
      <c r="S147" s="350"/>
      <c r="T147" s="350"/>
      <c r="U147" s="350"/>
      <c r="V147" s="350"/>
      <c r="W147" s="350"/>
      <c r="X147" s="350"/>
      <c r="Y147" s="350"/>
      <c r="Z147" s="350"/>
      <c r="AA147" s="350"/>
      <c r="AK147" s="230"/>
      <c r="AL147" s="230"/>
      <c r="AM147" s="230"/>
      <c r="AN147" s="230"/>
      <c r="AO147" s="230"/>
      <c r="AP147" s="40"/>
    </row>
    <row r="148" spans="9:42" x14ac:dyDescent="0.15">
      <c r="I148" s="350"/>
      <c r="J148" s="350"/>
      <c r="K148" s="350"/>
      <c r="L148" s="350"/>
      <c r="M148" s="350"/>
      <c r="N148" s="350"/>
      <c r="O148" s="350"/>
      <c r="P148" s="350"/>
      <c r="Q148" s="350"/>
      <c r="R148" s="350"/>
      <c r="S148" s="350"/>
      <c r="T148" s="350"/>
      <c r="U148" s="350"/>
      <c r="V148" s="350"/>
      <c r="W148" s="350"/>
      <c r="X148" s="350"/>
      <c r="Y148" s="350"/>
      <c r="Z148" s="350"/>
      <c r="AA148" s="350"/>
      <c r="AK148" s="40"/>
      <c r="AL148" s="40"/>
      <c r="AM148" s="40"/>
      <c r="AN148" s="40"/>
      <c r="AO148" s="40"/>
      <c r="AP148" s="40"/>
    </row>
    <row r="149" spans="9:42" x14ac:dyDescent="0.15">
      <c r="I149" s="350"/>
      <c r="J149" s="350"/>
      <c r="K149" s="350"/>
      <c r="L149" s="350"/>
      <c r="M149" s="350"/>
      <c r="N149" s="350"/>
      <c r="O149" s="350"/>
      <c r="P149" s="350"/>
      <c r="Q149" s="350"/>
      <c r="R149" s="350"/>
      <c r="S149" s="350"/>
      <c r="T149" s="350"/>
      <c r="U149" s="350"/>
      <c r="V149" s="350"/>
      <c r="W149" s="350"/>
      <c r="X149" s="350"/>
      <c r="Y149" s="350"/>
      <c r="Z149" s="350"/>
      <c r="AA149" s="350"/>
      <c r="AK149" s="40"/>
      <c r="AL149" s="40"/>
      <c r="AM149" s="40"/>
      <c r="AN149" s="40"/>
      <c r="AO149" s="40"/>
      <c r="AP149" s="40"/>
    </row>
    <row r="150" spans="9:42" x14ac:dyDescent="0.15">
      <c r="I150" s="350"/>
      <c r="J150" s="350"/>
      <c r="K150" s="350"/>
      <c r="L150" s="350"/>
      <c r="M150" s="350"/>
      <c r="N150" s="350"/>
      <c r="O150" s="350"/>
      <c r="P150" s="350"/>
      <c r="Q150" s="350"/>
      <c r="R150" s="350"/>
      <c r="S150" s="350"/>
      <c r="T150" s="350"/>
      <c r="U150" s="350"/>
      <c r="V150" s="350"/>
      <c r="W150" s="350"/>
      <c r="X150" s="350"/>
      <c r="Y150" s="350"/>
      <c r="Z150" s="350"/>
      <c r="AA150" s="350"/>
      <c r="AK150" s="40"/>
      <c r="AL150" s="40"/>
      <c r="AM150" s="40"/>
      <c r="AN150" s="40"/>
      <c r="AO150" s="40"/>
      <c r="AP150" s="40"/>
    </row>
    <row r="151" spans="9:42" x14ac:dyDescent="0.15">
      <c r="I151" s="350"/>
      <c r="J151" s="350"/>
      <c r="K151" s="350"/>
      <c r="L151" s="350"/>
      <c r="M151" s="350"/>
      <c r="N151" s="350"/>
      <c r="O151" s="350"/>
      <c r="P151" s="350"/>
      <c r="Q151" s="350"/>
      <c r="R151" s="350"/>
      <c r="S151" s="350"/>
      <c r="T151" s="350"/>
      <c r="U151" s="350"/>
      <c r="V151" s="350"/>
      <c r="W151" s="350"/>
      <c r="X151" s="350"/>
      <c r="Y151" s="350"/>
      <c r="Z151" s="350"/>
      <c r="AA151" s="350"/>
      <c r="AK151" s="40"/>
      <c r="AL151" s="40"/>
      <c r="AM151" s="40"/>
      <c r="AN151" s="40"/>
      <c r="AO151" s="40"/>
      <c r="AP151" s="40"/>
    </row>
    <row r="152" spans="9:42" x14ac:dyDescent="0.15">
      <c r="I152" s="350"/>
      <c r="J152" s="350"/>
      <c r="K152" s="350"/>
      <c r="L152" s="350"/>
      <c r="M152" s="350"/>
      <c r="N152" s="350"/>
      <c r="O152" s="350"/>
      <c r="P152" s="350"/>
      <c r="Q152" s="350"/>
      <c r="R152" s="350"/>
      <c r="S152" s="350"/>
      <c r="T152" s="350"/>
      <c r="U152" s="350"/>
      <c r="V152" s="350"/>
      <c r="W152" s="350"/>
      <c r="X152" s="350"/>
      <c r="Y152" s="350"/>
      <c r="Z152" s="350"/>
      <c r="AA152" s="350"/>
      <c r="AK152" s="55"/>
      <c r="AL152" s="40"/>
      <c r="AM152" s="40"/>
      <c r="AN152" s="40"/>
      <c r="AO152" s="40"/>
      <c r="AP152" s="40"/>
    </row>
    <row r="153" spans="9:42" x14ac:dyDescent="0.15">
      <c r="I153" s="350"/>
      <c r="J153" s="350"/>
      <c r="K153" s="350"/>
      <c r="L153" s="350"/>
      <c r="M153" s="350"/>
      <c r="N153" s="350"/>
      <c r="O153" s="350"/>
      <c r="P153" s="350"/>
      <c r="Q153" s="350"/>
      <c r="R153" s="350"/>
      <c r="S153" s="350"/>
      <c r="T153" s="350"/>
      <c r="U153" s="350"/>
      <c r="V153" s="350"/>
      <c r="W153" s="350"/>
      <c r="X153" s="350"/>
      <c r="Y153" s="350"/>
      <c r="Z153" s="350"/>
      <c r="AA153" s="350"/>
      <c r="AK153" s="230"/>
      <c r="AL153" s="230"/>
      <c r="AM153" s="230"/>
      <c r="AN153" s="230"/>
      <c r="AO153" s="230"/>
      <c r="AP153" s="40"/>
    </row>
    <row r="154" spans="9:42" x14ac:dyDescent="0.15">
      <c r="I154" s="350"/>
      <c r="J154" s="350"/>
      <c r="K154" s="350"/>
      <c r="L154" s="350"/>
      <c r="M154" s="350"/>
      <c r="N154" s="350"/>
      <c r="O154" s="350"/>
      <c r="P154" s="350"/>
      <c r="Q154" s="350"/>
      <c r="R154" s="350"/>
      <c r="S154" s="350"/>
      <c r="T154" s="350"/>
      <c r="U154" s="350"/>
      <c r="V154" s="350"/>
      <c r="W154" s="350"/>
      <c r="X154" s="350"/>
      <c r="Y154" s="350"/>
      <c r="Z154" s="350"/>
      <c r="AA154" s="350"/>
      <c r="AK154" s="40"/>
      <c r="AL154" s="40"/>
      <c r="AM154" s="40"/>
      <c r="AN154" s="40"/>
      <c r="AO154" s="40"/>
      <c r="AP154" s="40"/>
    </row>
    <row r="155" spans="9:42" x14ac:dyDescent="0.15">
      <c r="I155" s="350"/>
      <c r="J155" s="350"/>
      <c r="K155" s="350"/>
      <c r="L155" s="350"/>
      <c r="M155" s="350"/>
      <c r="N155" s="350"/>
      <c r="O155" s="350"/>
      <c r="P155" s="350"/>
      <c r="Q155" s="350"/>
      <c r="R155" s="350"/>
      <c r="S155" s="350"/>
      <c r="T155" s="350"/>
      <c r="U155" s="350"/>
      <c r="V155" s="350"/>
      <c r="W155" s="350"/>
      <c r="X155" s="350"/>
      <c r="Y155" s="350"/>
      <c r="Z155" s="350"/>
      <c r="AA155" s="350"/>
      <c r="AK155" s="40"/>
      <c r="AL155" s="40"/>
      <c r="AM155" s="40"/>
      <c r="AN155" s="40"/>
      <c r="AO155" s="40"/>
      <c r="AP155" s="40"/>
    </row>
    <row r="156" spans="9:42" x14ac:dyDescent="0.15">
      <c r="I156" s="350"/>
      <c r="J156" s="350"/>
      <c r="K156" s="350"/>
      <c r="L156" s="350"/>
      <c r="M156" s="350"/>
      <c r="N156" s="350"/>
      <c r="O156" s="350"/>
      <c r="P156" s="350"/>
      <c r="Q156" s="350"/>
      <c r="R156" s="350"/>
      <c r="S156" s="350"/>
      <c r="T156" s="350"/>
      <c r="U156" s="350"/>
      <c r="V156" s="350"/>
      <c r="W156" s="350"/>
      <c r="X156" s="350"/>
      <c r="Y156" s="350"/>
      <c r="Z156" s="350"/>
      <c r="AA156" s="350"/>
      <c r="AK156" s="40"/>
      <c r="AL156" s="40"/>
      <c r="AM156" s="40"/>
      <c r="AN156" s="40"/>
      <c r="AO156" s="40"/>
      <c r="AP156" s="40"/>
    </row>
    <row r="157" spans="9:42" x14ac:dyDescent="0.15">
      <c r="I157" s="350"/>
      <c r="J157" s="350"/>
      <c r="K157" s="350"/>
      <c r="L157" s="350"/>
      <c r="M157" s="350"/>
      <c r="N157" s="350"/>
      <c r="O157" s="350"/>
      <c r="P157" s="350"/>
      <c r="Q157" s="350"/>
      <c r="R157" s="350"/>
      <c r="S157" s="350"/>
      <c r="T157" s="350"/>
      <c r="U157" s="350"/>
      <c r="V157" s="350"/>
      <c r="W157" s="350"/>
      <c r="X157" s="350"/>
      <c r="Y157" s="350"/>
      <c r="Z157" s="350"/>
      <c r="AA157" s="350"/>
      <c r="AK157" s="40"/>
      <c r="AL157" s="40"/>
      <c r="AM157" s="230"/>
      <c r="AN157" s="230"/>
      <c r="AO157" s="40"/>
      <c r="AP157" s="40"/>
    </row>
    <row r="158" spans="9:42" x14ac:dyDescent="0.15">
      <c r="I158" s="350"/>
      <c r="J158" s="350"/>
      <c r="K158" s="350"/>
      <c r="L158" s="350"/>
      <c r="M158" s="350"/>
      <c r="N158" s="350"/>
      <c r="O158" s="350"/>
      <c r="P158" s="350"/>
      <c r="Q158" s="350"/>
      <c r="R158" s="350"/>
      <c r="S158" s="350"/>
      <c r="T158" s="350"/>
      <c r="U158" s="350"/>
      <c r="V158" s="350"/>
      <c r="W158" s="350"/>
      <c r="X158" s="350"/>
      <c r="Y158" s="350"/>
      <c r="Z158" s="350"/>
      <c r="AA158" s="350"/>
      <c r="AK158" s="55"/>
      <c r="AL158" s="40"/>
      <c r="AM158" s="40"/>
      <c r="AN158" s="40"/>
      <c r="AO158" s="40"/>
      <c r="AP158" s="40"/>
    </row>
    <row r="159" spans="9:42" x14ac:dyDescent="0.15">
      <c r="I159" s="350"/>
      <c r="J159" s="350"/>
      <c r="K159" s="350"/>
      <c r="L159" s="350"/>
      <c r="M159" s="350"/>
      <c r="N159" s="350"/>
      <c r="O159" s="350"/>
      <c r="P159" s="350"/>
      <c r="Q159" s="350"/>
      <c r="R159" s="350"/>
      <c r="S159" s="350"/>
      <c r="T159" s="350"/>
      <c r="U159" s="350"/>
      <c r="V159" s="350"/>
      <c r="W159" s="350"/>
      <c r="X159" s="350"/>
      <c r="Y159" s="350"/>
      <c r="Z159" s="350"/>
      <c r="AA159" s="350"/>
      <c r="AK159" s="230"/>
      <c r="AL159" s="230"/>
      <c r="AM159" s="230"/>
      <c r="AN159" s="230"/>
      <c r="AO159" s="230"/>
      <c r="AP159" s="40"/>
    </row>
    <row r="160" spans="9:42" x14ac:dyDescent="0.15">
      <c r="AK160" s="40"/>
      <c r="AL160" s="40"/>
      <c r="AM160" s="40"/>
      <c r="AN160" s="40"/>
      <c r="AO160" s="40"/>
      <c r="AP160" s="40"/>
    </row>
    <row r="161" spans="9:42" x14ac:dyDescent="0.15">
      <c r="AK161" s="40"/>
      <c r="AL161" s="40"/>
      <c r="AM161" s="40"/>
      <c r="AN161" s="40"/>
      <c r="AO161" s="40"/>
      <c r="AP161" s="40"/>
    </row>
    <row r="162" spans="9:42" x14ac:dyDescent="0.15">
      <c r="I162" s="350"/>
      <c r="J162" s="350"/>
      <c r="K162" s="350"/>
      <c r="L162" s="350"/>
      <c r="M162" s="350"/>
      <c r="N162" s="350"/>
      <c r="O162" s="350"/>
      <c r="P162" s="350"/>
      <c r="Q162" s="350"/>
      <c r="R162" s="350"/>
      <c r="S162" s="350"/>
      <c r="T162" s="350"/>
      <c r="U162" s="350"/>
      <c r="V162" s="350"/>
      <c r="W162" s="350"/>
      <c r="X162" s="350"/>
      <c r="Y162" s="350"/>
      <c r="Z162" s="350"/>
      <c r="AA162" s="350"/>
      <c r="AK162" s="40"/>
      <c r="AL162" s="40"/>
      <c r="AM162" s="40"/>
      <c r="AN162" s="40"/>
      <c r="AO162" s="40"/>
      <c r="AP162" s="40"/>
    </row>
    <row r="163" spans="9:42" x14ac:dyDescent="0.15">
      <c r="I163" s="350"/>
      <c r="J163" s="350"/>
      <c r="K163" s="264"/>
      <c r="L163" s="350"/>
      <c r="M163" s="350"/>
      <c r="N163" s="350"/>
      <c r="O163" s="350"/>
      <c r="P163" s="350"/>
      <c r="Q163" s="350"/>
      <c r="R163" s="350"/>
      <c r="S163" s="350"/>
      <c r="T163" s="350"/>
      <c r="U163" s="350"/>
      <c r="V163" s="350"/>
      <c r="W163" s="350"/>
      <c r="X163" s="350"/>
      <c r="Y163" s="350"/>
      <c r="Z163" s="350"/>
      <c r="AA163" s="350"/>
      <c r="AK163" s="40"/>
      <c r="AL163" s="40"/>
      <c r="AM163" s="40"/>
      <c r="AN163" s="40"/>
      <c r="AO163" s="40"/>
      <c r="AP163" s="40"/>
    </row>
    <row r="164" spans="9:42" x14ac:dyDescent="0.15">
      <c r="I164" s="350"/>
      <c r="J164" s="350"/>
      <c r="K164" s="350"/>
      <c r="L164" s="350"/>
      <c r="M164" s="350"/>
      <c r="N164" s="350"/>
      <c r="O164" s="350"/>
      <c r="P164" s="350"/>
      <c r="Q164" s="350"/>
      <c r="R164" s="350"/>
      <c r="S164" s="350"/>
      <c r="T164" s="350"/>
      <c r="U164" s="350"/>
      <c r="V164" s="350"/>
      <c r="W164" s="350"/>
      <c r="X164" s="350"/>
      <c r="Y164" s="350"/>
      <c r="Z164" s="350"/>
      <c r="AA164" s="350"/>
      <c r="AK164" s="55"/>
      <c r="AL164" s="40"/>
      <c r="AM164" s="40"/>
      <c r="AN164" s="40"/>
      <c r="AO164" s="40"/>
      <c r="AP164" s="40"/>
    </row>
    <row r="165" spans="9:42" x14ac:dyDescent="0.15">
      <c r="I165" s="350"/>
      <c r="J165" s="350"/>
      <c r="K165" s="350"/>
      <c r="L165" s="350"/>
      <c r="M165" s="350"/>
      <c r="N165" s="350"/>
      <c r="O165" s="350"/>
      <c r="P165" s="350"/>
      <c r="Q165" s="350"/>
      <c r="R165" s="350"/>
      <c r="S165" s="350"/>
      <c r="T165" s="350"/>
      <c r="U165" s="350"/>
      <c r="V165" s="350"/>
      <c r="W165" s="350"/>
      <c r="X165" s="350"/>
      <c r="Y165" s="350"/>
      <c r="Z165" s="350"/>
      <c r="AA165" s="350"/>
      <c r="AK165" s="230"/>
      <c r="AL165" s="230"/>
      <c r="AM165" s="230"/>
      <c r="AN165" s="230"/>
      <c r="AO165" s="230"/>
      <c r="AP165" s="40"/>
    </row>
    <row r="166" spans="9:42" x14ac:dyDescent="0.15">
      <c r="I166" s="350"/>
      <c r="J166" s="350"/>
      <c r="K166" s="350"/>
      <c r="L166" s="350"/>
      <c r="M166" s="350"/>
      <c r="N166" s="350"/>
      <c r="O166" s="350"/>
      <c r="P166" s="350"/>
      <c r="Q166" s="350"/>
      <c r="R166" s="350"/>
      <c r="S166" s="350"/>
      <c r="T166" s="350"/>
      <c r="U166" s="350"/>
      <c r="V166" s="350"/>
      <c r="W166" s="350"/>
      <c r="X166" s="350"/>
      <c r="Y166" s="350"/>
      <c r="Z166" s="350"/>
      <c r="AA166" s="350"/>
      <c r="AK166" s="40"/>
      <c r="AL166" s="40"/>
      <c r="AM166" s="40"/>
      <c r="AN166" s="40"/>
      <c r="AO166" s="40"/>
      <c r="AP166" s="40"/>
    </row>
    <row r="167" spans="9:42" x14ac:dyDescent="0.15">
      <c r="I167" s="350"/>
      <c r="J167" s="350"/>
      <c r="K167" s="350"/>
      <c r="L167" s="350"/>
      <c r="M167" s="350"/>
      <c r="N167" s="350"/>
      <c r="O167" s="350"/>
      <c r="P167" s="350"/>
      <c r="Q167" s="350"/>
      <c r="R167" s="350"/>
      <c r="S167" s="350"/>
      <c r="T167" s="350"/>
      <c r="U167" s="350"/>
      <c r="V167" s="350"/>
      <c r="W167" s="350"/>
      <c r="X167" s="350"/>
      <c r="Y167" s="350"/>
      <c r="Z167" s="350"/>
      <c r="AA167" s="350"/>
      <c r="AK167" s="40"/>
      <c r="AL167" s="40"/>
      <c r="AM167" s="40"/>
      <c r="AN167" s="40"/>
      <c r="AO167" s="40"/>
      <c r="AP167" s="40"/>
    </row>
    <row r="168" spans="9:42" x14ac:dyDescent="0.15">
      <c r="I168" s="350"/>
      <c r="J168" s="350"/>
      <c r="K168" s="350"/>
      <c r="L168" s="350"/>
      <c r="M168" s="350"/>
      <c r="N168" s="350"/>
      <c r="O168" s="350"/>
      <c r="P168" s="350"/>
      <c r="Q168" s="350"/>
      <c r="R168" s="350"/>
      <c r="S168" s="350"/>
      <c r="T168" s="350"/>
      <c r="U168" s="350"/>
      <c r="V168" s="350"/>
      <c r="W168" s="350"/>
      <c r="X168" s="350"/>
      <c r="Y168" s="350"/>
      <c r="Z168" s="350"/>
      <c r="AA168" s="350"/>
      <c r="AK168" s="40"/>
      <c r="AL168" s="40"/>
      <c r="AM168" s="40"/>
      <c r="AN168" s="40"/>
      <c r="AO168" s="40"/>
      <c r="AP168" s="40"/>
    </row>
    <row r="169" spans="9:42" x14ac:dyDescent="0.15">
      <c r="I169" s="350"/>
      <c r="J169" s="350"/>
      <c r="K169" s="350"/>
      <c r="L169" s="350"/>
      <c r="M169" s="350"/>
      <c r="N169" s="350"/>
      <c r="O169" s="350"/>
      <c r="P169" s="350"/>
      <c r="Q169" s="350"/>
      <c r="R169" s="350"/>
      <c r="S169" s="350"/>
      <c r="T169" s="350"/>
      <c r="U169" s="350"/>
      <c r="V169" s="350"/>
      <c r="W169" s="350"/>
      <c r="X169" s="350"/>
      <c r="Y169" s="350"/>
      <c r="Z169" s="350"/>
      <c r="AA169" s="350"/>
      <c r="AK169" s="40"/>
      <c r="AL169" s="40"/>
      <c r="AM169" s="228"/>
      <c r="AN169" s="228"/>
      <c r="AO169" s="40"/>
    </row>
    <row r="170" spans="9:42" x14ac:dyDescent="0.15">
      <c r="I170" s="350"/>
      <c r="J170" s="350"/>
      <c r="K170" s="350"/>
      <c r="L170" s="350"/>
      <c r="M170" s="350"/>
      <c r="N170" s="350"/>
      <c r="O170" s="350"/>
      <c r="P170" s="350"/>
      <c r="Q170" s="350"/>
      <c r="R170" s="350"/>
      <c r="S170" s="350"/>
      <c r="T170" s="350"/>
      <c r="U170" s="350"/>
      <c r="V170" s="350"/>
      <c r="W170" s="350"/>
      <c r="X170" s="350"/>
      <c r="Y170" s="350"/>
      <c r="Z170" s="350"/>
      <c r="AA170" s="350"/>
      <c r="AK170" s="40"/>
      <c r="AL170" s="40"/>
      <c r="AM170" s="228"/>
      <c r="AN170" s="228"/>
      <c r="AO170" s="40"/>
    </row>
    <row r="171" spans="9:42" x14ac:dyDescent="0.15">
      <c r="I171" s="350"/>
      <c r="J171" s="350"/>
      <c r="K171" s="350"/>
      <c r="L171" s="350"/>
      <c r="M171" s="350"/>
      <c r="N171" s="350"/>
      <c r="O171" s="350"/>
      <c r="P171" s="350"/>
      <c r="Q171" s="350"/>
      <c r="R171" s="350"/>
      <c r="S171" s="350"/>
      <c r="T171" s="350"/>
      <c r="U171" s="350"/>
      <c r="V171" s="350"/>
      <c r="W171" s="350"/>
      <c r="X171" s="350"/>
      <c r="Y171" s="350"/>
      <c r="Z171" s="350"/>
      <c r="AA171" s="350"/>
      <c r="AK171" s="40"/>
      <c r="AL171" s="40"/>
      <c r="AM171" s="228"/>
      <c r="AN171" s="228"/>
      <c r="AO171" s="40"/>
    </row>
    <row r="172" spans="9:42" x14ac:dyDescent="0.15">
      <c r="I172" s="350"/>
      <c r="J172" s="350"/>
      <c r="K172" s="350"/>
      <c r="L172" s="350"/>
      <c r="M172" s="350"/>
      <c r="N172" s="350"/>
      <c r="O172" s="350"/>
      <c r="P172" s="350"/>
      <c r="Q172" s="350"/>
      <c r="R172" s="350"/>
      <c r="S172" s="350"/>
      <c r="T172" s="350"/>
      <c r="U172" s="350"/>
      <c r="V172" s="350"/>
      <c r="W172" s="350"/>
      <c r="X172" s="350"/>
      <c r="Y172" s="350"/>
      <c r="Z172" s="350"/>
      <c r="AA172" s="350"/>
      <c r="AK172" s="40"/>
      <c r="AL172" s="40"/>
      <c r="AM172" s="228"/>
      <c r="AN172" s="228"/>
      <c r="AO172" s="40"/>
    </row>
    <row r="173" spans="9:42" x14ac:dyDescent="0.15">
      <c r="I173" s="350"/>
      <c r="J173" s="350"/>
      <c r="K173" s="350"/>
      <c r="L173" s="350"/>
      <c r="M173" s="350"/>
      <c r="N173" s="350"/>
      <c r="O173" s="350"/>
      <c r="P173" s="350"/>
      <c r="Q173" s="350"/>
      <c r="R173" s="350"/>
      <c r="S173" s="350"/>
      <c r="T173" s="350"/>
      <c r="U173" s="350"/>
      <c r="V173" s="350"/>
      <c r="W173" s="350"/>
      <c r="X173" s="350"/>
      <c r="Y173" s="350"/>
      <c r="Z173" s="350"/>
      <c r="AA173" s="350"/>
      <c r="AK173" s="40"/>
      <c r="AL173" s="40"/>
      <c r="AM173" s="228"/>
      <c r="AN173" s="228"/>
      <c r="AO173" s="40"/>
    </row>
    <row r="174" spans="9:42" x14ac:dyDescent="0.15">
      <c r="I174" s="350"/>
      <c r="J174" s="350"/>
      <c r="K174" s="350"/>
      <c r="L174" s="350"/>
      <c r="M174" s="350"/>
      <c r="N174" s="350"/>
      <c r="O174" s="350"/>
      <c r="P174" s="350"/>
      <c r="Q174" s="350"/>
      <c r="R174" s="350"/>
      <c r="S174" s="350"/>
      <c r="T174" s="350"/>
      <c r="U174" s="350"/>
      <c r="V174" s="350"/>
      <c r="W174" s="350"/>
      <c r="X174" s="350"/>
      <c r="Y174" s="350"/>
      <c r="Z174" s="350"/>
      <c r="AA174" s="350"/>
      <c r="AK174" s="40"/>
      <c r="AL174" s="40"/>
      <c r="AM174" s="228"/>
      <c r="AN174" s="228"/>
      <c r="AO174" s="40"/>
    </row>
    <row r="175" spans="9:42" x14ac:dyDescent="0.15">
      <c r="I175" s="350"/>
      <c r="J175" s="350"/>
      <c r="K175" s="350"/>
      <c r="L175" s="350"/>
      <c r="M175" s="350"/>
      <c r="N175" s="350"/>
      <c r="O175" s="350"/>
      <c r="P175" s="350"/>
      <c r="Q175" s="350"/>
      <c r="R175" s="350"/>
      <c r="S175" s="350"/>
      <c r="T175" s="350"/>
      <c r="U175" s="350"/>
      <c r="V175" s="350"/>
      <c r="W175" s="350"/>
      <c r="X175" s="350"/>
      <c r="Y175" s="350"/>
      <c r="Z175" s="350"/>
      <c r="AA175" s="350"/>
    </row>
    <row r="176" spans="9:42" x14ac:dyDescent="0.15">
      <c r="I176" s="350"/>
      <c r="J176" s="350"/>
      <c r="K176" s="350"/>
      <c r="L176" s="350"/>
      <c r="M176" s="350"/>
      <c r="N176" s="350"/>
      <c r="O176" s="350"/>
      <c r="P176" s="350"/>
      <c r="Q176" s="350"/>
      <c r="R176" s="350"/>
      <c r="S176" s="350"/>
      <c r="T176" s="350"/>
      <c r="U176" s="350"/>
      <c r="V176" s="350"/>
      <c r="W176" s="350"/>
      <c r="X176" s="350"/>
      <c r="Y176" s="350"/>
      <c r="Z176" s="350"/>
      <c r="AA176" s="350"/>
      <c r="AK176" s="55"/>
      <c r="AL176" s="40"/>
      <c r="AM176" s="40"/>
      <c r="AN176" s="40"/>
      <c r="AO176" s="40"/>
      <c r="AP176" s="40"/>
    </row>
    <row r="177" spans="9:42" x14ac:dyDescent="0.15">
      <c r="I177" s="350"/>
      <c r="J177" s="350"/>
      <c r="K177" s="350"/>
      <c r="L177" s="350"/>
      <c r="M177" s="350"/>
      <c r="N177" s="350"/>
      <c r="O177" s="350"/>
      <c r="P177" s="350"/>
      <c r="Q177" s="350"/>
      <c r="R177" s="350"/>
      <c r="S177" s="350"/>
      <c r="T177" s="350"/>
      <c r="U177" s="350"/>
      <c r="V177" s="350"/>
      <c r="W177" s="350"/>
      <c r="X177" s="350"/>
      <c r="Y177" s="350"/>
      <c r="Z177" s="350"/>
      <c r="AA177" s="350"/>
      <c r="AK177" s="228"/>
      <c r="AL177" s="228"/>
      <c r="AM177" s="228"/>
      <c r="AN177" s="228"/>
      <c r="AO177" s="40"/>
      <c r="AP177" s="40"/>
    </row>
    <row r="178" spans="9:42" x14ac:dyDescent="0.15">
      <c r="I178" s="350"/>
      <c r="J178" s="350"/>
      <c r="K178" s="350"/>
      <c r="L178" s="350"/>
      <c r="M178" s="350"/>
      <c r="N178" s="350"/>
      <c r="O178" s="350"/>
      <c r="P178" s="350"/>
      <c r="Q178" s="350"/>
      <c r="R178" s="350"/>
      <c r="S178" s="350"/>
      <c r="T178" s="350"/>
      <c r="U178" s="350"/>
      <c r="V178" s="350"/>
      <c r="W178" s="350"/>
      <c r="X178" s="350"/>
      <c r="Y178" s="350"/>
      <c r="Z178" s="350"/>
      <c r="AA178" s="350"/>
      <c r="AK178" s="237"/>
      <c r="AL178" s="238"/>
      <c r="AM178" s="228"/>
      <c r="AN178" s="228"/>
      <c r="AO178" s="40"/>
      <c r="AP178" s="40"/>
    </row>
    <row r="179" spans="9:42" x14ac:dyDescent="0.15">
      <c r="I179" s="350"/>
      <c r="J179" s="350"/>
      <c r="K179" s="350"/>
      <c r="L179" s="350"/>
      <c r="M179" s="350"/>
      <c r="N179" s="350"/>
      <c r="O179" s="350"/>
      <c r="P179" s="350"/>
      <c r="Q179" s="350"/>
      <c r="R179" s="350"/>
      <c r="S179" s="350"/>
      <c r="T179" s="350"/>
      <c r="U179" s="350"/>
      <c r="V179" s="350"/>
      <c r="W179" s="350"/>
      <c r="X179" s="350"/>
      <c r="Y179" s="350"/>
      <c r="Z179" s="350"/>
      <c r="AA179" s="350"/>
      <c r="AK179" s="40"/>
      <c r="AL179" s="238"/>
      <c r="AM179" s="228"/>
      <c r="AN179" s="228"/>
      <c r="AO179" s="40"/>
      <c r="AP179" s="40"/>
    </row>
    <row r="180" spans="9:42" x14ac:dyDescent="0.15">
      <c r="AK180" s="40"/>
      <c r="AL180" s="238"/>
      <c r="AM180" s="228"/>
      <c r="AN180" s="228"/>
      <c r="AO180" s="40"/>
      <c r="AP180" s="40"/>
    </row>
    <row r="181" spans="9:42" x14ac:dyDescent="0.15">
      <c r="AK181" s="40"/>
      <c r="AL181" s="40"/>
      <c r="AM181" s="228"/>
      <c r="AN181" s="228"/>
      <c r="AO181" s="40"/>
      <c r="AP181" s="40"/>
    </row>
    <row r="182" spans="9:42" x14ac:dyDescent="0.15">
      <c r="K182"/>
      <c r="AK182" s="40"/>
      <c r="AL182" s="40"/>
      <c r="AM182" s="228"/>
      <c r="AN182" s="228"/>
      <c r="AO182" s="40"/>
      <c r="AP182" s="40"/>
    </row>
    <row r="183" spans="9:42" x14ac:dyDescent="0.15">
      <c r="AK183" s="40"/>
      <c r="AL183" s="40"/>
      <c r="AM183" s="228"/>
      <c r="AN183" s="228"/>
      <c r="AO183" s="40"/>
      <c r="AP183" s="40"/>
    </row>
    <row r="184" spans="9:42" x14ac:dyDescent="0.15">
      <c r="AK184" s="40"/>
      <c r="AL184" s="40"/>
      <c r="AM184" s="228"/>
      <c r="AN184" s="228"/>
      <c r="AO184" s="40"/>
      <c r="AP184" s="40"/>
    </row>
    <row r="185" spans="9:42" x14ac:dyDescent="0.15">
      <c r="AK185" s="40"/>
      <c r="AL185" s="40"/>
      <c r="AM185" s="228"/>
      <c r="AN185" s="228"/>
      <c r="AO185" s="40"/>
      <c r="AP185" s="40"/>
    </row>
    <row r="186" spans="9:42" x14ac:dyDescent="0.15">
      <c r="AK186" s="40"/>
      <c r="AL186" s="40"/>
      <c r="AM186" s="228"/>
      <c r="AN186" s="228"/>
      <c r="AO186" s="40"/>
      <c r="AP186" s="40"/>
    </row>
    <row r="187" spans="9:42" x14ac:dyDescent="0.15">
      <c r="AK187" s="40"/>
      <c r="AL187" s="40"/>
      <c r="AM187" s="40"/>
      <c r="AN187" s="40"/>
      <c r="AO187" s="40"/>
      <c r="AP187" s="40"/>
    </row>
    <row r="188" spans="9:42" x14ac:dyDescent="0.15">
      <c r="AK188" s="55"/>
      <c r="AL188" s="40"/>
      <c r="AM188" s="40"/>
      <c r="AN188" s="40"/>
      <c r="AO188" s="40"/>
      <c r="AP188" s="40"/>
    </row>
    <row r="189" spans="9:42" x14ac:dyDescent="0.15">
      <c r="AK189" s="228"/>
      <c r="AL189" s="228"/>
      <c r="AM189" s="228"/>
      <c r="AN189" s="228"/>
      <c r="AO189" s="40"/>
      <c r="AP189" s="40"/>
    </row>
    <row r="190" spans="9:42" x14ac:dyDescent="0.15">
      <c r="AK190" s="237"/>
      <c r="AL190" s="238"/>
      <c r="AM190" s="228"/>
      <c r="AN190" s="228"/>
      <c r="AO190" s="40"/>
      <c r="AP190" s="40"/>
    </row>
    <row r="191" spans="9:42" x14ac:dyDescent="0.15">
      <c r="AK191" s="40"/>
      <c r="AL191" s="238"/>
      <c r="AM191" s="228"/>
      <c r="AN191" s="228"/>
      <c r="AO191" s="40"/>
      <c r="AP191" s="40"/>
    </row>
    <row r="192" spans="9:42" x14ac:dyDescent="0.15">
      <c r="AK192" s="40"/>
      <c r="AL192" s="238"/>
      <c r="AM192" s="228"/>
      <c r="AN192" s="228"/>
      <c r="AO192" s="40"/>
      <c r="AP192" s="40"/>
    </row>
    <row r="193" spans="37:42" x14ac:dyDescent="0.15">
      <c r="AK193" s="40"/>
      <c r="AL193" s="40"/>
      <c r="AM193" s="228"/>
      <c r="AN193" s="228"/>
      <c r="AO193" s="40"/>
      <c r="AP193" s="40"/>
    </row>
    <row r="194" spans="37:42" x14ac:dyDescent="0.15">
      <c r="AK194" s="40"/>
      <c r="AL194" s="40"/>
      <c r="AM194" s="228"/>
      <c r="AN194" s="228"/>
      <c r="AO194" s="40"/>
      <c r="AP194" s="40"/>
    </row>
    <row r="195" spans="37:42" x14ac:dyDescent="0.15">
      <c r="AK195" s="40"/>
      <c r="AL195" s="40"/>
      <c r="AM195" s="228"/>
      <c r="AN195" s="228"/>
      <c r="AO195" s="40"/>
      <c r="AP195" s="40"/>
    </row>
    <row r="196" spans="37:42" x14ac:dyDescent="0.15">
      <c r="AK196" s="40"/>
      <c r="AL196" s="40"/>
      <c r="AM196" s="228"/>
      <c r="AN196" s="228"/>
      <c r="AO196" s="40"/>
      <c r="AP196" s="40"/>
    </row>
    <row r="197" spans="37:42" x14ac:dyDescent="0.15">
      <c r="AK197" s="40"/>
      <c r="AL197" s="40"/>
      <c r="AM197" s="228"/>
      <c r="AN197" s="228"/>
      <c r="AO197" s="40"/>
      <c r="AP197" s="40"/>
    </row>
    <row r="198" spans="37:42" x14ac:dyDescent="0.15">
      <c r="AK198" s="40"/>
      <c r="AL198" s="40"/>
      <c r="AM198" s="228"/>
      <c r="AN198" s="228"/>
      <c r="AO198" s="40"/>
      <c r="AP198" s="40"/>
    </row>
    <row r="199" spans="37:42" x14ac:dyDescent="0.15">
      <c r="AK199" s="40"/>
      <c r="AL199" s="40"/>
      <c r="AM199" s="40"/>
      <c r="AN199" s="40"/>
      <c r="AO199" s="40"/>
      <c r="AP199" s="40"/>
    </row>
    <row r="200" spans="37:42" x14ac:dyDescent="0.15">
      <c r="AK200" s="55"/>
      <c r="AL200" s="40"/>
      <c r="AM200" s="40"/>
      <c r="AN200" s="40"/>
      <c r="AO200" s="40"/>
      <c r="AP200" s="40"/>
    </row>
    <row r="201" spans="37:42" x14ac:dyDescent="0.15">
      <c r="AK201" s="228"/>
      <c r="AL201" s="228"/>
      <c r="AM201" s="228"/>
      <c r="AN201" s="228"/>
      <c r="AO201" s="40"/>
      <c r="AP201" s="40"/>
    </row>
    <row r="202" spans="37:42" x14ac:dyDescent="0.15">
      <c r="AK202" s="237"/>
      <c r="AL202" s="238"/>
      <c r="AM202" s="228"/>
      <c r="AN202" s="228"/>
      <c r="AO202" s="40"/>
      <c r="AP202" s="40"/>
    </row>
    <row r="203" spans="37:42" x14ac:dyDescent="0.15">
      <c r="AK203" s="40"/>
      <c r="AL203" s="238"/>
      <c r="AM203" s="228"/>
      <c r="AN203" s="228"/>
      <c r="AO203" s="40"/>
      <c r="AP203" s="40"/>
    </row>
    <row r="204" spans="37:42" x14ac:dyDescent="0.15">
      <c r="AK204" s="40"/>
      <c r="AL204" s="238"/>
      <c r="AM204" s="228"/>
      <c r="AN204" s="228"/>
      <c r="AO204" s="40"/>
      <c r="AP204" s="40"/>
    </row>
    <row r="205" spans="37:42" x14ac:dyDescent="0.15">
      <c r="AK205" s="40"/>
      <c r="AL205" s="40"/>
      <c r="AM205" s="228"/>
      <c r="AN205" s="228"/>
      <c r="AO205" s="40"/>
      <c r="AP205" s="40"/>
    </row>
    <row r="206" spans="37:42" x14ac:dyDescent="0.15">
      <c r="AK206" s="40"/>
      <c r="AL206" s="40"/>
      <c r="AM206" s="228"/>
      <c r="AN206" s="228"/>
      <c r="AO206" s="40"/>
      <c r="AP206" s="40"/>
    </row>
    <row r="207" spans="37:42" x14ac:dyDescent="0.15">
      <c r="AK207" s="40"/>
      <c r="AL207" s="40"/>
      <c r="AM207" s="228"/>
      <c r="AN207" s="228"/>
      <c r="AO207" s="40"/>
      <c r="AP207" s="40"/>
    </row>
    <row r="208" spans="37:42" x14ac:dyDescent="0.15">
      <c r="AK208" s="40"/>
      <c r="AL208" s="40"/>
      <c r="AM208" s="228"/>
      <c r="AN208" s="228"/>
      <c r="AO208" s="40"/>
      <c r="AP208" s="40"/>
    </row>
    <row r="209" spans="37:42" x14ac:dyDescent="0.15">
      <c r="AK209" s="40"/>
      <c r="AL209" s="40"/>
      <c r="AM209" s="228"/>
      <c r="AN209" s="228"/>
      <c r="AO209" s="40"/>
      <c r="AP209" s="40"/>
    </row>
    <row r="210" spans="37:42" x14ac:dyDescent="0.15">
      <c r="AK210" s="40"/>
      <c r="AL210" s="40"/>
      <c r="AM210" s="228"/>
      <c r="AN210" s="228"/>
      <c r="AO210" s="40"/>
      <c r="AP210" s="40"/>
    </row>
    <row r="211" spans="37:42" x14ac:dyDescent="0.15">
      <c r="AK211" s="40"/>
      <c r="AL211" s="40"/>
      <c r="AM211" s="40"/>
      <c r="AN211" s="40"/>
      <c r="AO211" s="40"/>
      <c r="AP211" s="40"/>
    </row>
    <row r="212" spans="37:42" x14ac:dyDescent="0.15">
      <c r="AK212" s="55"/>
      <c r="AL212" s="40"/>
      <c r="AM212" s="40"/>
      <c r="AN212" s="40"/>
      <c r="AO212" s="40"/>
      <c r="AP212" s="40"/>
    </row>
    <row r="213" spans="37:42" x14ac:dyDescent="0.15">
      <c r="AK213" s="228"/>
      <c r="AL213" s="228"/>
      <c r="AM213" s="228"/>
      <c r="AN213" s="228"/>
      <c r="AO213" s="40"/>
      <c r="AP213" s="40"/>
    </row>
    <row r="214" spans="37:42" x14ac:dyDescent="0.15">
      <c r="AK214" s="237"/>
      <c r="AL214" s="238"/>
      <c r="AM214" s="228"/>
      <c r="AN214" s="228"/>
      <c r="AO214" s="40"/>
      <c r="AP214" s="40"/>
    </row>
    <row r="215" spans="37:42" x14ac:dyDescent="0.15">
      <c r="AK215" s="40"/>
      <c r="AL215" s="238"/>
      <c r="AM215" s="228"/>
      <c r="AN215" s="228"/>
      <c r="AO215" s="40"/>
      <c r="AP215" s="40"/>
    </row>
    <row r="216" spans="37:42" x14ac:dyDescent="0.15">
      <c r="AK216" s="40"/>
      <c r="AL216" s="238"/>
      <c r="AM216" s="228"/>
      <c r="AN216" s="228"/>
      <c r="AO216" s="40"/>
      <c r="AP216" s="40"/>
    </row>
    <row r="217" spans="37:42" x14ac:dyDescent="0.15">
      <c r="AK217" s="40"/>
      <c r="AL217" s="40"/>
      <c r="AM217" s="228"/>
      <c r="AN217" s="228"/>
      <c r="AO217" s="40"/>
      <c r="AP217" s="40"/>
    </row>
    <row r="218" spans="37:42" x14ac:dyDescent="0.15">
      <c r="AK218" s="40"/>
      <c r="AL218" s="40"/>
      <c r="AM218" s="228"/>
      <c r="AN218" s="228"/>
      <c r="AO218" s="40"/>
      <c r="AP218" s="40"/>
    </row>
    <row r="219" spans="37:42" x14ac:dyDescent="0.15">
      <c r="AK219" s="40"/>
      <c r="AL219" s="40"/>
      <c r="AM219" s="228"/>
      <c r="AN219" s="228"/>
      <c r="AO219" s="40"/>
      <c r="AP219" s="40"/>
    </row>
    <row r="220" spans="37:42" x14ac:dyDescent="0.15">
      <c r="AK220" s="40"/>
      <c r="AL220" s="40"/>
      <c r="AM220" s="228"/>
      <c r="AN220" s="228"/>
      <c r="AO220" s="40"/>
      <c r="AP220" s="40"/>
    </row>
    <row r="221" spans="37:42" x14ac:dyDescent="0.15">
      <c r="AK221" s="40"/>
      <c r="AL221" s="40"/>
      <c r="AM221" s="228"/>
      <c r="AN221" s="228"/>
      <c r="AO221" s="40"/>
      <c r="AP221" s="40"/>
    </row>
    <row r="222" spans="37:42" x14ac:dyDescent="0.15">
      <c r="AK222" s="40"/>
      <c r="AL222" s="40"/>
      <c r="AM222" s="228"/>
      <c r="AN222" s="228"/>
      <c r="AO222" s="40"/>
      <c r="AP222" s="40"/>
    </row>
    <row r="223" spans="37:42" x14ac:dyDescent="0.15">
      <c r="AK223" s="40"/>
      <c r="AL223" s="40"/>
      <c r="AM223" s="40"/>
      <c r="AN223" s="40"/>
      <c r="AO223" s="40"/>
      <c r="AP223" s="40"/>
    </row>
    <row r="224" spans="37:42" x14ac:dyDescent="0.15">
      <c r="AK224" s="55"/>
      <c r="AL224" s="40"/>
      <c r="AM224" s="40"/>
      <c r="AN224" s="40"/>
      <c r="AO224" s="40"/>
      <c r="AP224" s="40"/>
    </row>
    <row r="225" spans="37:42" x14ac:dyDescent="0.15">
      <c r="AK225" s="228"/>
      <c r="AL225" s="228"/>
      <c r="AM225" s="228"/>
      <c r="AN225" s="228"/>
      <c r="AO225" s="40"/>
      <c r="AP225" s="40"/>
    </row>
    <row r="226" spans="37:42" x14ac:dyDescent="0.15">
      <c r="AK226" s="237"/>
      <c r="AL226" s="238"/>
      <c r="AM226" s="228"/>
      <c r="AN226" s="228"/>
      <c r="AO226" s="40"/>
      <c r="AP226" s="40"/>
    </row>
    <row r="227" spans="37:42" x14ac:dyDescent="0.15">
      <c r="AK227" s="40"/>
      <c r="AL227" s="238"/>
      <c r="AM227" s="228"/>
      <c r="AN227" s="228"/>
      <c r="AO227" s="40"/>
      <c r="AP227" s="40"/>
    </row>
    <row r="228" spans="37:42" x14ac:dyDescent="0.15">
      <c r="AK228" s="40"/>
      <c r="AL228" s="238"/>
      <c r="AM228" s="228"/>
      <c r="AN228" s="228"/>
      <c r="AO228" s="40"/>
      <c r="AP228" s="40"/>
    </row>
    <row r="229" spans="37:42" x14ac:dyDescent="0.15">
      <c r="AK229" s="40"/>
      <c r="AL229" s="40"/>
      <c r="AM229" s="228"/>
      <c r="AN229" s="228"/>
      <c r="AO229" s="40"/>
      <c r="AP229" s="40"/>
    </row>
    <row r="230" spans="37:42" x14ac:dyDescent="0.15">
      <c r="AK230" s="40"/>
      <c r="AL230" s="40"/>
      <c r="AM230" s="228"/>
      <c r="AN230" s="228"/>
      <c r="AO230" s="40"/>
      <c r="AP230" s="40"/>
    </row>
    <row r="231" spans="37:42" x14ac:dyDescent="0.15">
      <c r="AK231" s="40"/>
      <c r="AL231" s="40"/>
      <c r="AM231" s="228"/>
      <c r="AN231" s="228"/>
      <c r="AO231" s="40"/>
      <c r="AP231" s="40"/>
    </row>
    <row r="232" spans="37:42" x14ac:dyDescent="0.15">
      <c r="AK232" s="40"/>
      <c r="AL232" s="40"/>
      <c r="AM232" s="228"/>
      <c r="AN232" s="228"/>
      <c r="AO232" s="40"/>
      <c r="AP232" s="40"/>
    </row>
    <row r="233" spans="37:42" x14ac:dyDescent="0.15">
      <c r="AK233" s="40"/>
      <c r="AL233" s="40"/>
      <c r="AM233" s="228"/>
      <c r="AN233" s="228"/>
      <c r="AO233" s="40"/>
      <c r="AP233" s="40"/>
    </row>
    <row r="234" spans="37:42" x14ac:dyDescent="0.15">
      <c r="AK234" s="40"/>
      <c r="AL234" s="40"/>
      <c r="AM234" s="228"/>
      <c r="AN234" s="228"/>
      <c r="AO234" s="40"/>
      <c r="AP234" s="40"/>
    </row>
    <row r="235" spans="37:42" x14ac:dyDescent="0.15">
      <c r="AK235" s="40"/>
      <c r="AL235" s="40"/>
      <c r="AM235" s="40"/>
      <c r="AN235" s="40"/>
      <c r="AO235" s="40"/>
      <c r="AP235" s="40"/>
    </row>
    <row r="236" spans="37:42" x14ac:dyDescent="0.15">
      <c r="AK236" s="40"/>
      <c r="AL236" s="40"/>
      <c r="AM236" s="40"/>
      <c r="AN236" s="40"/>
      <c r="AO236" s="40"/>
      <c r="AP236" s="40"/>
    </row>
    <row r="237" spans="37:42" x14ac:dyDescent="0.15">
      <c r="AK237" s="40"/>
      <c r="AL237" s="40"/>
      <c r="AM237" s="40"/>
      <c r="AN237" s="40"/>
      <c r="AO237" s="40"/>
      <c r="AP237" s="40"/>
    </row>
    <row r="238" spans="37:42" x14ac:dyDescent="0.15">
      <c r="AK238" s="40"/>
      <c r="AL238" s="40"/>
      <c r="AM238" s="40"/>
      <c r="AN238" s="40"/>
      <c r="AO238" s="40"/>
      <c r="AP238" s="40"/>
    </row>
    <row r="239" spans="37:42" x14ac:dyDescent="0.15">
      <c r="AK239" s="40"/>
      <c r="AL239" s="40"/>
      <c r="AM239" s="40"/>
      <c r="AN239" s="40"/>
      <c r="AO239" s="40"/>
      <c r="AP239" s="40"/>
    </row>
    <row r="240" spans="37:42" x14ac:dyDescent="0.15">
      <c r="AK240" s="40"/>
      <c r="AL240" s="40"/>
      <c r="AM240" s="40"/>
      <c r="AN240" s="40"/>
      <c r="AO240" s="40"/>
      <c r="AP240" s="40"/>
    </row>
    <row r="241" spans="37:42" x14ac:dyDescent="0.15">
      <c r="AK241" s="40"/>
      <c r="AL241" s="40"/>
      <c r="AM241" s="40"/>
      <c r="AN241" s="40"/>
      <c r="AO241" s="40"/>
      <c r="AP241" s="40"/>
    </row>
  </sheetData>
  <sheetProtection password="CEE3" sheet="1" objects="1" scenarios="1"/>
  <mergeCells count="48">
    <mergeCell ref="AL133:AL135"/>
    <mergeCell ref="AL136:AL138"/>
    <mergeCell ref="AL118:AL120"/>
    <mergeCell ref="AL121:AL123"/>
    <mergeCell ref="AL124:AL126"/>
    <mergeCell ref="AL127:AL129"/>
    <mergeCell ref="AL130:AL132"/>
    <mergeCell ref="AK127:AK129"/>
    <mergeCell ref="AK130:AK132"/>
    <mergeCell ref="AL106:AL108"/>
    <mergeCell ref="AL109:AL111"/>
    <mergeCell ref="AL112:AL114"/>
    <mergeCell ref="AL115:AL117"/>
    <mergeCell ref="AK106:AK108"/>
    <mergeCell ref="AK109:AK111"/>
    <mergeCell ref="AK112:AK114"/>
    <mergeCell ref="AK115:AK117"/>
    <mergeCell ref="AK133:AK135"/>
    <mergeCell ref="AK136:AK138"/>
    <mergeCell ref="AK85:AM85"/>
    <mergeCell ref="T3:U3"/>
    <mergeCell ref="F3:H3"/>
    <mergeCell ref="F5:H5"/>
    <mergeCell ref="F53:H53"/>
    <mergeCell ref="AK80:AM80"/>
    <mergeCell ref="AK81:AM81"/>
    <mergeCell ref="AK82:AM82"/>
    <mergeCell ref="AK83:AM83"/>
    <mergeCell ref="AK84:AM84"/>
    <mergeCell ref="F51:H51"/>
    <mergeCell ref="AK118:AK120"/>
    <mergeCell ref="AK121:AK123"/>
    <mergeCell ref="AK124:AK126"/>
    <mergeCell ref="F1:M1"/>
    <mergeCell ref="I3:L3"/>
    <mergeCell ref="O3:Q3"/>
    <mergeCell ref="X3:Z3"/>
    <mergeCell ref="AB8:AB9"/>
    <mergeCell ref="F64:M64"/>
    <mergeCell ref="F66:H66"/>
    <mergeCell ref="I66:L66"/>
    <mergeCell ref="O66:Q66"/>
    <mergeCell ref="T66:U66"/>
    <mergeCell ref="X66:Z66"/>
    <mergeCell ref="F68:H68"/>
    <mergeCell ref="AB71:AB72"/>
    <mergeCell ref="F114:H114"/>
    <mergeCell ref="F116:H116"/>
  </mergeCells>
  <phoneticPr fontId="4"/>
  <dataValidations count="3">
    <dataValidation type="list" allowBlank="1" showInputMessage="1" sqref="U40:U41 U37:U38 U34:U35 U31:U32 U28:U29 U25:U26 U22:U23 U19:U20 U16:U17 U10:U11 U13:U14 U85:U86">
      <formula1>$AK$91:$AK$102</formula1>
    </dataValidation>
    <dataValidation type="list" allowBlank="1" showInputMessage="1" sqref="I10 I40 I37 I34 I31 I28 I25 I22 I19 I16 I13">
      <formula1>$AN$80:$AN$88</formula1>
    </dataValidation>
    <dataValidation type="list" allowBlank="1" showInputMessage="1" sqref="U12 U15 U18 U21 U24 U27 U30 U33 U36 U39 U42">
      <formula1>$AL$91:$AL$98</formula1>
    </dataValidation>
  </dataValidations>
  <printOptions horizontalCentered="1" verticalCentered="1"/>
  <pageMargins left="0.39370078740157483" right="0.39370078740157483" top="0.59055118110236227" bottom="0.39370078740157483" header="0.11811023622047245" footer="0.11811023622047245"/>
  <pageSetup paperSize="9" scale="71" orientation="landscape" verticalDpi="400" r:id="rId1"/>
  <headerFooter alignWithMargins="0">
    <oddHeader>&amp;RＴＭ２１５９６&amp;G　　(7/8)</oddHeader>
    <oddFooter>&amp;R&amp;"ＭＳ Ｐゴシック,太字"&amp;12&amp;G</oddFooter>
  </headerFooter>
  <drawing r:id="rId2"/>
  <legacyDrawing r:id="rId3"/>
  <legacyDrawingHF r:id="rId4"/>
  <oleObjects>
    <mc:AlternateContent xmlns:mc="http://schemas.openxmlformats.org/markup-compatibility/2006">
      <mc:Choice Requires="x14">
        <oleObject progId="ANDES.Document.3" shapeId="3088" r:id="rId5">
          <objectPr defaultSize="0" autoPict="0" r:id="rId6">
            <anchor moveWithCells="1" sizeWithCells="1">
              <from>
                <xdr:col>8</xdr:col>
                <xdr:colOff>66675</xdr:colOff>
                <xdr:row>88</xdr:row>
                <xdr:rowOff>38100</xdr:rowOff>
              </from>
              <to>
                <xdr:col>27</xdr:col>
                <xdr:colOff>238125</xdr:colOff>
                <xdr:row>102</xdr:row>
                <xdr:rowOff>114300</xdr:rowOff>
              </to>
            </anchor>
          </objectPr>
        </oleObject>
      </mc:Choice>
      <mc:Fallback>
        <oleObject progId="ANDES.Document.3" shapeId="3088" r:id="rId5"/>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F1:BR114"/>
  <sheetViews>
    <sheetView showZeros="0" view="pageBreakPreview" zoomScaleNormal="50" zoomScaleSheetLayoutView="100" zoomScalePageLayoutView="40" workbookViewId="0">
      <selection activeCell="B4" sqref="B4:J4"/>
    </sheetView>
  </sheetViews>
  <sheetFormatPr defaultRowHeight="14.25" x14ac:dyDescent="0.15"/>
  <cols>
    <col min="1" max="5" width="9" style="50"/>
    <col min="6" max="6" width="3.625" style="50" customWidth="1"/>
    <col min="7" max="7" width="1.375" style="50" customWidth="1"/>
    <col min="8" max="8" width="8.625" style="50" customWidth="1"/>
    <col min="9" max="9" width="6.875" style="50" customWidth="1"/>
    <col min="10" max="10" width="1" style="50" customWidth="1"/>
    <col min="11" max="11" width="9.75" style="50" customWidth="1"/>
    <col min="12" max="12" width="17.5" style="50" customWidth="1"/>
    <col min="13" max="13" width="7.75" style="50" customWidth="1"/>
    <col min="14" max="14" width="10.5" style="50" customWidth="1"/>
    <col min="15" max="15" width="8.625" style="50" customWidth="1"/>
    <col min="16" max="16" width="6.625" style="50" customWidth="1"/>
    <col min="17" max="17" width="8.625" style="50" customWidth="1"/>
    <col min="18" max="18" width="10.625" style="50" customWidth="1"/>
    <col min="19" max="19" width="8.625" style="50" customWidth="1"/>
    <col min="20" max="20" width="10.625" style="50" customWidth="1"/>
    <col min="21" max="21" width="14.625" style="50" customWidth="1"/>
    <col min="22" max="22" width="6.625" style="50" customWidth="1"/>
    <col min="23" max="23" width="8.625" style="50" customWidth="1"/>
    <col min="24" max="24" width="10.625" style="50" customWidth="1"/>
    <col min="25" max="25" width="8.625" style="50" customWidth="1"/>
    <col min="26" max="26" width="10.625" style="50" customWidth="1"/>
    <col min="27" max="27" width="1.5" style="50" customWidth="1"/>
    <col min="28" max="28" width="13.625" style="50" customWidth="1"/>
    <col min="29" max="29" width="9" style="50" hidden="1" customWidth="1"/>
    <col min="30" max="35" width="0" style="50" hidden="1" customWidth="1"/>
    <col min="36" max="36" width="9" style="50"/>
    <col min="37" max="37" width="15" style="50" customWidth="1"/>
    <col min="38" max="39" width="9.375" style="50" bestFit="1" customWidth="1"/>
    <col min="40" max="40" width="9.625" style="50" customWidth="1"/>
    <col min="41" max="42" width="9.375" style="50" bestFit="1" customWidth="1"/>
    <col min="43" max="43" width="11.25" style="50" customWidth="1"/>
    <col min="44" max="44" width="9.5" style="50" customWidth="1"/>
    <col min="45" max="45" width="15.625" style="50" customWidth="1"/>
    <col min="46" max="50" width="9.375" style="50" bestFit="1" customWidth="1"/>
    <col min="51" max="51" width="10" style="50" customWidth="1"/>
    <col min="52" max="53" width="9.375" style="50" bestFit="1" customWidth="1"/>
    <col min="54" max="54" width="9.375" style="3" bestFit="1" customWidth="1"/>
    <col min="55" max="55" width="15.75" style="50" customWidth="1"/>
    <col min="56" max="57" width="9.375" style="50" bestFit="1" customWidth="1"/>
    <col min="58" max="58" width="12" style="50" customWidth="1"/>
    <col min="59" max="59" width="14.75" style="50" customWidth="1"/>
    <col min="60" max="63" width="9.375" style="50" bestFit="1" customWidth="1"/>
    <col min="64" max="64" width="20.25" style="50" customWidth="1"/>
    <col min="65" max="65" width="9.375" style="50" bestFit="1" customWidth="1"/>
    <col min="66" max="66" width="23.375" style="50" customWidth="1"/>
    <col min="67" max="69" width="9.375" style="50" bestFit="1" customWidth="1"/>
    <col min="70" max="16384" width="9" style="50"/>
  </cols>
  <sheetData>
    <row r="1" spans="6:70" ht="25.5" customHeight="1" x14ac:dyDescent="0.15">
      <c r="F1" s="412" t="s">
        <v>209</v>
      </c>
      <c r="G1" s="413"/>
      <c r="H1" s="413"/>
      <c r="I1" s="413"/>
      <c r="J1" s="413"/>
      <c r="K1" s="413"/>
      <c r="L1" s="413"/>
      <c r="M1" s="414"/>
      <c r="N1" s="1"/>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row>
    <row r="2" spans="6:70" ht="12.75" customHeight="1" x14ac:dyDescent="0.15">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row>
    <row r="3" spans="6:70" ht="20.100000000000001" customHeight="1" x14ac:dyDescent="0.15">
      <c r="F3" s="409" t="s">
        <v>0</v>
      </c>
      <c r="G3" s="415"/>
      <c r="H3" s="416"/>
      <c r="I3" s="417">
        <f>◆入力◆④「1個放水」計算!I3</f>
        <v>0</v>
      </c>
      <c r="J3" s="418"/>
      <c r="K3" s="418"/>
      <c r="L3" s="419"/>
      <c r="M3" s="40"/>
      <c r="N3" s="361" t="s">
        <v>1</v>
      </c>
      <c r="O3" s="420" t="s">
        <v>241</v>
      </c>
      <c r="P3" s="421"/>
      <c r="Q3" s="422"/>
      <c r="R3" s="363"/>
      <c r="S3" s="361" t="s">
        <v>2</v>
      </c>
      <c r="T3" s="410">
        <f ca="1">TODAY()</f>
        <v>42326</v>
      </c>
      <c r="U3" s="427"/>
      <c r="V3" s="40"/>
      <c r="W3" s="361" t="s">
        <v>44</v>
      </c>
      <c r="X3" s="417" t="str">
        <f>◆入力◆④「1個放水」計算!X3</f>
        <v/>
      </c>
      <c r="Y3" s="418"/>
      <c r="Z3" s="419"/>
      <c r="AA3" s="54"/>
      <c r="AB3" s="54"/>
      <c r="AC3" s="54"/>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row>
    <row r="4" spans="6:70" ht="12" customHeight="1" x14ac:dyDescent="0.15">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row>
    <row r="5" spans="6:70" ht="20.100000000000001" customHeight="1" x14ac:dyDescent="0.15">
      <c r="F5" s="409" t="s">
        <v>3</v>
      </c>
      <c r="G5" s="415"/>
      <c r="H5" s="416"/>
      <c r="I5" s="163">
        <f>◆入力◆④「1個放水」計算!I5</f>
        <v>1</v>
      </c>
      <c r="J5" s="60"/>
      <c r="K5" s="61" t="s">
        <v>37</v>
      </c>
      <c r="L5" s="131" t="str">
        <f>◆入力◆④「1個放水」計算!L5</f>
        <v>水道用硬質ポリ塩化ビニル管</v>
      </c>
      <c r="M5" s="40"/>
      <c r="N5" s="40"/>
      <c r="O5" s="40"/>
      <c r="P5" s="40"/>
      <c r="Q5" s="40"/>
      <c r="R5" s="40"/>
      <c r="S5" s="40"/>
      <c r="T5" s="40"/>
      <c r="U5" s="40"/>
      <c r="V5" s="40"/>
      <c r="W5" s="40"/>
      <c r="X5" s="40"/>
      <c r="Y5" s="40"/>
      <c r="Z5" s="40"/>
      <c r="AA5" s="40"/>
      <c r="AB5" s="40"/>
      <c r="AC5" s="40"/>
      <c r="AD5" s="62"/>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row>
    <row r="6" spans="6:70" ht="14.25" customHeight="1" x14ac:dyDescent="0.15">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row>
    <row r="7" spans="6:70" ht="15" thickBot="1" x14ac:dyDescent="0.2">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row>
    <row r="8" spans="6:70" ht="20.100000000000001" customHeight="1" thickBot="1" x14ac:dyDescent="0.2">
      <c r="F8" s="234"/>
      <c r="G8" s="40"/>
      <c r="H8" s="64" t="s">
        <v>45</v>
      </c>
      <c r="I8" s="53"/>
      <c r="J8" s="40"/>
      <c r="K8" s="361" t="s">
        <v>7</v>
      </c>
      <c r="L8" s="65" t="s">
        <v>8</v>
      </c>
      <c r="M8" s="66" t="s">
        <v>9</v>
      </c>
      <c r="N8" s="66"/>
      <c r="O8" s="64" t="s">
        <v>10</v>
      </c>
      <c r="P8" s="66"/>
      <c r="Q8" s="66"/>
      <c r="R8" s="66"/>
      <c r="S8" s="66"/>
      <c r="T8" s="66"/>
      <c r="U8" s="64" t="s">
        <v>11</v>
      </c>
      <c r="V8" s="66"/>
      <c r="W8" s="66"/>
      <c r="X8" s="66"/>
      <c r="Y8" s="66"/>
      <c r="Z8" s="53"/>
      <c r="AA8" s="40"/>
      <c r="AB8" s="404" t="s">
        <v>55</v>
      </c>
      <c r="AC8" s="67"/>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row>
    <row r="9" spans="6:70" ht="20.100000000000001" customHeight="1" x14ac:dyDescent="0.15">
      <c r="F9" s="235"/>
      <c r="G9" s="40"/>
      <c r="H9" s="68" t="s">
        <v>46</v>
      </c>
      <c r="I9" s="361" t="s">
        <v>47</v>
      </c>
      <c r="J9" s="40"/>
      <c r="K9" s="361" t="s">
        <v>36</v>
      </c>
      <c r="L9" s="65" t="s">
        <v>12</v>
      </c>
      <c r="M9" s="360" t="s">
        <v>48</v>
      </c>
      <c r="N9" s="69" t="s">
        <v>13</v>
      </c>
      <c r="O9" s="360" t="s">
        <v>14</v>
      </c>
      <c r="P9" s="361" t="s">
        <v>15</v>
      </c>
      <c r="Q9" s="360" t="s">
        <v>16</v>
      </c>
      <c r="R9" s="361" t="s">
        <v>17</v>
      </c>
      <c r="S9" s="360" t="s">
        <v>18</v>
      </c>
      <c r="T9" s="69" t="s">
        <v>13</v>
      </c>
      <c r="U9" s="360" t="s">
        <v>19</v>
      </c>
      <c r="V9" s="361" t="s">
        <v>15</v>
      </c>
      <c r="W9" s="70" t="s">
        <v>16</v>
      </c>
      <c r="X9" s="361" t="s">
        <v>17</v>
      </c>
      <c r="Y9" s="360" t="s">
        <v>18</v>
      </c>
      <c r="Z9" s="69" t="s">
        <v>13</v>
      </c>
      <c r="AA9" s="363"/>
      <c r="AB9" s="405"/>
      <c r="AC9" s="71" t="s">
        <v>73</v>
      </c>
      <c r="AD9" s="72" t="s">
        <v>40</v>
      </c>
      <c r="AE9" s="72" t="s">
        <v>56</v>
      </c>
      <c r="AF9" s="72" t="s">
        <v>39</v>
      </c>
      <c r="AG9" s="72" t="s">
        <v>61</v>
      </c>
      <c r="AH9" s="72" t="s">
        <v>92</v>
      </c>
      <c r="AI9" s="72" t="s">
        <v>93</v>
      </c>
      <c r="AJ9" s="72"/>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row>
    <row r="10" spans="6:70" x14ac:dyDescent="0.15">
      <c r="F10" s="235" t="s">
        <v>21</v>
      </c>
      <c r="G10" s="40"/>
      <c r="H10" s="132"/>
      <c r="I10" s="133">
        <f>IF($F$55&gt;=ROW()-9,◆入力◆④「1個放水」計算!I10,0)</f>
        <v>0</v>
      </c>
      <c r="J10" s="121"/>
      <c r="K10" s="164"/>
      <c r="L10" s="74"/>
      <c r="M10" s="135"/>
      <c r="N10" s="76"/>
      <c r="O10" s="77">
        <f>IF(I11=0,0,"E９０°")</f>
        <v>0</v>
      </c>
      <c r="P10" s="136">
        <f>IF($F$55&gt;=ROW()-9,◆入力◆④「1個放水」計算!P10,0)</f>
        <v>0</v>
      </c>
      <c r="Q10" s="78">
        <f>IF(I11=0,0,IF(I10="SGP-VB",LOOKUP(I11,◆入力◆④「1個放水」計算!$AL$4:$AX$4,◆入力◆④「1個放水」計算!$AL$6:$AX$6),IF(I10="SGP-PB",LOOKUP(I11,◆入力◆④「1個放水」計算!$AL$15:$AX$15,◆入力◆④「1個放水」計算!$AL$17:$AX$17),IF(I10="HIVP",LOOKUP(I11,◆入力◆④「1個放水」計算!$AL$26:$AX$26,◆入力◆④「1個放水」計算!$AL$28:$AX$28),IF(OR(I10="SGP",I10="フレキ"),LOOKUP(I11,◆入力◆④「1個放水」計算!$AL$37:$AX$37,◆入力◆④「1個放水」計算!$AL$39:$AX$39),IF(I10="SUS",LOOKUP(I11,◆入力◆④「1個放水」計算!$AL$48:$AX$48,◆入力◆④「1個放水」計算!$AL$50:$AX$50),IF(OR(I10="PE",I10="PP"),LOOKUP(I11,◆入力◆④「1個放水」計算!$AL$59:$AX$59,◆入力◆④「1個放水」計算!$AL$61:$AX$61))))))))</f>
        <v>0</v>
      </c>
      <c r="R10" s="79">
        <f t="shared" ref="R10:R42" si="0">P10*Q10</f>
        <v>0</v>
      </c>
      <c r="S10" s="80"/>
      <c r="T10" s="81">
        <v>0</v>
      </c>
      <c r="U10" s="137">
        <f>IF($F$55&gt;=ROW()-9,◆入力◆④「1個放水」計算!U10,0)</f>
        <v>0</v>
      </c>
      <c r="V10" s="138">
        <f>IF($F$55&gt;=ROW()-9,◆入力◆④「1個放水」計算!V10,0)</f>
        <v>0</v>
      </c>
      <c r="W10" s="79">
        <f>IF($U10="Yスト",AC10,IF($I10="sgp-vb",AD10,IF($I10="sgp-pb",AE10,IF($I10="hivp",AF10,IF(OR($I10="sgp",$I10="フレキ"),AG10,IF($I10="sus",AH10,IF(OR($I10="PE",$I10="PP"),AI10,0)))))))</f>
        <v>0</v>
      </c>
      <c r="X10" s="82">
        <f t="shared" ref="X10:X42" si="1">V10*W10</f>
        <v>0</v>
      </c>
      <c r="Y10" s="83"/>
      <c r="Z10" s="84">
        <f>IF(AND($U10="電動弁",$V10=1),LOOKUP($K11,◆入力◆④「1個放水」計算!$AL$77:$BQ$77,◆入力◆④「1個放水」計算!$AL$78:$BQ$78),IF(AND($U11="電動弁",$V11=1),LOOKUP($K11,◆入力◆④「1個放水」計算!$AL$77:$BQ$77,◆入力◆④「1個放水」計算!$AL$78:$BQ$78),IF(AND($U12="電動弁",$V12=1),LOOKUP($K11,◆入力◆④「1個放水」計算!$AL$77:$BQ$77,◆入力◆④「1個放水」計算!$AL$78:$BQ$78),0)))</f>
        <v>0</v>
      </c>
      <c r="AA10" s="40"/>
      <c r="AB10" s="85"/>
      <c r="AC10" s="86">
        <f>IF(U10="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0" s="86">
        <f>IF($U10="仕切弁",LOOKUP($I11,◆入力◆④「1個放水」計算!$AL$4:$AX$4,◆入力◆④「1個放水」計算!$AL$9:$AX$9),IF($U10="逆止弁",LOOKUP($I11,◆入力◆④「1個放水」計算!$AL$4:$AX$4,◆入力◆④「1個放水」計算!$AL$10:$AX$10),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E10" s="86">
        <f>IF($U10="仕切弁",LOOKUP($I11,◆入力◆④「1個放水」計算!$AL$15:$AX$15,◆入力◆④「1個放水」計算!$AL$20:$AX$20),IF($U10="逆止弁",LOOKUP($I11,◆入力◆④「1個放水」計算!$AL$15:$AX$15,◆入力◆④「1個放水」計算!$AL$21:$AX$21),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F10" s="86">
        <f>IF($U10="仕切弁",LOOKUP($I11,◆入力◆④「1個放水」計算!$AL$26:$AX$26,◆入力◆④「1個放水」計算!$AL$31:$AX$31),IF($U10="逆止弁",LOOKUP($I11,◆入力◆④「1個放水」計算!$AL$26:$AX$26,◆入力◆④「1個放水」計算!$AL$32:$AX$32),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G10" s="86">
        <f>IF($U10="仕切弁",LOOKUP($I11,◆入力◆④「1個放水」計算!$AL$37:$AX$37,◆入力◆④「1個放水」計算!$AL$42:$AX$42),IF($U10="逆止弁",LOOKUP($I11,◆入力◆④「1個放水」計算!$AL$37:$AX$37,◆入力◆④「1個放水」計算!$AL$43:$AX$43),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H10" s="86">
        <f>IF($U10="仕切弁",LOOKUP($I11,◆入力◆④「1個放水」計算!$AL$48:$AX$48,◆入力◆④「1個放水」計算!$AL$53:$AX$53),IF($U10="逆止弁",LOOKUP($I11,◆入力◆④「1個放水」計算!$AL$48:$AX$48,◆入力◆④「1個放水」計算!$AL$54:$AX$54),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I10" s="86">
        <f>IF($U10="仕切弁",LOOKUP($I11,◆入力◆④「1個放水」計算!$AL$59:$AX$59,◆入力◆④「1個放水」計算!$AL$65:$AX$65),IF($U10="逆止弁",LOOKUP($I11,◆入力◆④「1個放水」計算!$AL$59:$AX$59,◆入力◆④「1個放水」計算!$AL$66:$AX$66),IF($U10="水道メーター",LOOKUP($I11,◆入力◆④「1個放水」計算!$AL$70:$AQ$70,◆入力◆④「1個放水」計算!$AL$71:$AQ$71),IF($U10="止水栓",LOOKUP($I11,◆入力◆④「1個放水」計算!$AL$70:$AQ$70,◆入力◆④「1個放水」計算!$AL$72:$AQ$72),IF($U10="分水栓",LOOKUP($I11,◆入力◆④「1個放水」計算!$AL$70:$AQ$70,◆入力◆④「1個放水」計算!$AL$73:$AQ$73),IF($U10="巻き出しフレキ",LOOKUP($I11,◆入力◆④「1個放水」計算!$AL$70:$AQ$70,◆入力◆④「1個放水」計算!$AL$74:$AQ$74),IF($U10="",0,0)))))))</f>
        <v>0</v>
      </c>
      <c r="AJ10" s="115"/>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row>
    <row r="11" spans="6:70" ht="14.25" customHeight="1" x14ac:dyDescent="0.15">
      <c r="F11" s="235"/>
      <c r="G11" s="40"/>
      <c r="H11" s="149">
        <f>IF($F$55&gt;=ROW()-10,◆入力◆④「1個放水」計算!H11,0)</f>
        <v>0</v>
      </c>
      <c r="I11" s="140">
        <f>IF($F$55&gt;=ROW()-10,◆入力◆④「1個放水」計算!I11,0)</f>
        <v>0</v>
      </c>
      <c r="J11" s="121"/>
      <c r="K11" s="165">
        <f>IF($F$55&gt;=ROW()-10,◆入力◆④「1個放水」計算!K11,0)</f>
        <v>0</v>
      </c>
      <c r="L11" s="74">
        <f>IF(I11=0,0,IF(I11&gt;=65,K11^1.85*0.012/I12^4.87,ROUNDUP((0.0126+(0.01739-(0.1087*I12/100))/SQRT(4*K11/(60000*PI()*(I12/100)^2)))*(1/(I12/100))*((4*K11/(60000*PI()*(I12/100)^2))^2/(2*9.8)),4)))</f>
        <v>0</v>
      </c>
      <c r="M11" s="142">
        <f>IF($F$55&gt;=ROW()-10,◆入力◆④「1個放水」計算!M11,0)</f>
        <v>0</v>
      </c>
      <c r="N11" s="84">
        <f>ROUNDUP(L11*M11,2)</f>
        <v>0</v>
      </c>
      <c r="O11" s="87">
        <f>IF(I11=0,0,"Ｔ直")</f>
        <v>0</v>
      </c>
      <c r="P11" s="138">
        <f>IF($F$55&gt;=ROW()-10,◆入力◆④「1個放水」計算!P11,0)</f>
        <v>0</v>
      </c>
      <c r="Q11" s="88">
        <f>IF(I11=0,0,IF(I10="SGP-VB",LOOKUP(I11,◆入力◆④「1個放水」計算!$AL$4:$AX$4,◆入力◆④「1個放水」計算!$AL$7:$AX$7),IF(I10="SGP-PB",LOOKUP(I11,◆入力◆④「1個放水」計算!$AL$15:$AX$15,◆入力◆④「1個放水」計算!$AL$18:$AX$18),IF(I10="HIVP",LOOKUP(I11,◆入力◆④「1個放水」計算!$AL$26:$AX$26,◆入力◆④「1個放水」計算!$AL$29:$AX$29),IF(OR(I10="SGP",I10="フレキ"),LOOKUP(I11,◆入力◆④「1個放水」計算!$AL$37:$AX$37,◆入力◆④「1個放水」計算!$AL$40:$AX$40),IF(I10="SUS",LOOKUP(I11,◆入力◆④「1個放水」計算!$AL$48:$AX$48,◆入力◆④「1個放水」計算!$AL$51:$AX$51),IF(OR(I10="PE",I10="PP"),LOOKUP(I11,◆入力◆④「1個放水」計算!$AL$59:$AX$59,◆入力◆④「1個放水」計算!$AL$63:$AX$63))))))))</f>
        <v>0</v>
      </c>
      <c r="R11" s="82">
        <f t="shared" si="0"/>
        <v>0</v>
      </c>
      <c r="S11" s="83">
        <f>R10+R11+R12</f>
        <v>0</v>
      </c>
      <c r="T11" s="84">
        <f>ROUNDUP(L11*S11,2)</f>
        <v>0</v>
      </c>
      <c r="U11" s="143">
        <f>IF($F$55&gt;=ROW()-10,◆入力◆④「1個放水」計算!U11,0)</f>
        <v>0</v>
      </c>
      <c r="V11" s="138">
        <f>IF($F$55&gt;=ROW()-10,◆入力◆④「1個放水」計算!V11,0)</f>
        <v>0</v>
      </c>
      <c r="W11" s="82">
        <f>IF($U11="Yスト",AC11,IF($I10="sgp-vb",AD11,IF($I10="sgp-pb",AE11,IF($I10="hivp",AF11,IF(OR($I10="sgp",$I10="フレキ"),AG11,IF($I10="sus",AH11,IF(OR($I10="PE",$I10="PP"),AI11,0)))))))</f>
        <v>0</v>
      </c>
      <c r="X11" s="82">
        <f t="shared" si="1"/>
        <v>0</v>
      </c>
      <c r="Y11" s="83">
        <f>SUM(X10:X12)</f>
        <v>0</v>
      </c>
      <c r="Z11" s="84"/>
      <c r="AA11" s="40"/>
      <c r="AB11" s="84">
        <f>T10+N11+T11+Z10+Z11+Z12</f>
        <v>0</v>
      </c>
      <c r="AC11" s="89">
        <f>IF(U11="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1" s="90">
        <f>IF($U11="仕切弁",LOOKUP($I11,◆入力◆④「1個放水」計算!$AL$4:$AX$4,◆入力◆④「1個放水」計算!$AL$9:$AX$9),IF($U11="逆止弁",LOOKUP($I11,◆入力◆④「1個放水」計算!$AL$4:$AX$4,◆入力◆④「1個放水」計算!$AL$10:$AX$10),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E11" s="90">
        <f>IF($U11="仕切弁",LOOKUP($I11,◆入力◆④「1個放水」計算!$AL$15:$AX$15,◆入力◆④「1個放水」計算!$AL$20:$AX$20),IF($U11="逆止弁",LOOKUP($I11,◆入力◆④「1個放水」計算!$AL$15:$AX$15,◆入力◆④「1個放水」計算!$AL$21:$AX$21),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F11" s="90">
        <f>IF($U11="仕切弁",LOOKUP($I11,◆入力◆④「1個放水」計算!$AL$26:$AX$26,◆入力◆④「1個放水」計算!$AL$31:$AX$31),IF($U11="逆止弁",LOOKUP($I11,◆入力◆④「1個放水」計算!$AL$26:$AX$26,◆入力◆④「1個放水」計算!$AL$32:$AX$32),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G11" s="90">
        <f>IF($U11="仕切弁",LOOKUP($I11,◆入力◆④「1個放水」計算!$AL$37:$AX$37,◆入力◆④「1個放水」計算!$AL$42:$AX$42),IF($U11="逆止弁",LOOKUP($I11,◆入力◆④「1個放水」計算!$AL$37:$AX$37,◆入力◆④「1個放水」計算!$AL$43:$AX$43),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H11" s="90">
        <f>IF($U11="仕切弁",LOOKUP($I11,◆入力◆④「1個放水」計算!$AL$48:$AX$48,◆入力◆④「1個放水」計算!$AL$53:$AX$53),IF($U11="逆止弁",LOOKUP($I11,◆入力◆④「1個放水」計算!$AL$48:$AX$48,◆入力◆④「1個放水」計算!$AL$54:$AX$54),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I11" s="90">
        <f>IF($U11="仕切弁",LOOKUP($I11,◆入力◆④「1個放水」計算!$AL$59:$AX$59,◆入力◆④「1個放水」計算!$AL$65:$AX$65),IF($U11="逆止弁",LOOKUP($I11,◆入力◆④「1個放水」計算!$AL$59:$AX$59,◆入力◆④「1個放水」計算!$AL$66:$AX$66),IF($U11="水道メーター",LOOKUP($I11,◆入力◆④「1個放水」計算!$AL$70:$AQ$70,◆入力◆④「1個放水」計算!$AL$71:$AQ$71),IF($U11="止水栓",LOOKUP($I11,◆入力◆④「1個放水」計算!$AL$70:$AQ$70,◆入力◆④「1個放水」計算!$AL$72:$AQ$72),IF($U11="分水栓",LOOKUP($I11,◆入力◆④「1個放水」計算!$AL$70:$AQ$70,◆入力◆④「1個放水」計算!$AL$73:$AQ$73),IF($U11="巻き出しフレキ",LOOKUP($I11,◆入力◆④「1個放水」計算!$AL$70:$AQ$70,◆入力◆④「1個放水」計算!$AL$74:$AQ$74),IF($U11="",0,0)))))))</f>
        <v>0</v>
      </c>
      <c r="AJ11" s="144"/>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row>
    <row r="12" spans="6:70" ht="14.25" customHeight="1" x14ac:dyDescent="0.15">
      <c r="F12" s="235"/>
      <c r="G12" s="40"/>
      <c r="H12" s="145"/>
      <c r="I12" s="146" t="b">
        <f>IF(I11="",0,IF(I10="SGP-VB",LOOKUP(I11,◆入力◆④「1個放水」計算!$AL$4:$AX$4,◆入力◆④「1個放水」計算!$AL$5:$AX$5),IF(I10="SGP-PB",LOOKUP(I11,◆入力◆④「1個放水」計算!$AL$15:$AX$15,◆入力◆④「1個放水」計算!$AL$16:$AX$16),IF(I10="HIVP",LOOKUP(I11,◆入力◆④「1個放水」計算!$AL$26:$AX$26,◆入力◆④「1個放水」計算!$AL$27:$AX$27),IF(OR(I10="SGP",I10="フレキ"),LOOKUP(I11,◆入力◆④「1個放水」計算!$AL$37:$AX$37,◆入力◆④「1個放水」計算!$AL$38:$AX$38),IF(I10="SUS",LOOKUP(I11,◆入力◆④「1個放水」計算!$AL$48:$AX$48,◆入力◆④「1個放水」計算!$AL$49:$AX$49),IF(OR(I10="PE",I10="PP"),LOOKUP(I11,◆入力◆④「1個放水」計算!$AL$59:$AX$59,◆入力◆④「1個放水」計算!$AL$60:$AX$60))))))))</f>
        <v>0</v>
      </c>
      <c r="J12" s="121"/>
      <c r="K12" s="166"/>
      <c r="L12" s="74"/>
      <c r="M12" s="142"/>
      <c r="N12" s="76"/>
      <c r="O12" s="87">
        <f>IF(I11=0,0,"Ｔ分")</f>
        <v>0</v>
      </c>
      <c r="P12" s="138">
        <f>IF($F$55&gt;=ROW()-11,◆入力◆④「1個放水」計算!P12,0)</f>
        <v>0</v>
      </c>
      <c r="Q12" s="88">
        <f>IF(I11=0,0,IF(I10="SGP-VB",LOOKUP(I11,◆入力◆④「1個放水」計算!$AL$4:$AX$4,◆入力◆④「1個放水」計算!$AL$8:$AX$8),IF(I10="SGP-PB",LOOKUP(I11,◆入力◆④「1個放水」計算!$AL$15:$AX$15,◆入力◆④「1個放水」計算!$AL$19:$AX$19),IF(I10="HIVP",LOOKUP(I11,◆入力◆④「1個放水」計算!$AL$26:$AX$26,◆入力◆④「1個放水」計算!$AL$30:$AX$30),IF(OR(I10="SGP",I10="フレキ"),LOOKUP(I11,◆入力◆④「1個放水」計算!$AL$37:$AX$37,◆入力◆④「1個放水」計算!$AL$41:$AX$41),IF(I10="SUS",LOOKUP(I11,◆入力◆④「1個放水」計算!$AL$48:$AX$48,◆入力◆④「1個放水」計算!$AL$52:$AX$52),IF(OR(I10="PE",I10="PP"),LOOKUP(I11,◆入力◆④「1個放水」計算!$AL$59:$AX$59,◆入力◆④「1個放水」計算!$AL$64:$AX$64))))))))</f>
        <v>0</v>
      </c>
      <c r="R12" s="82">
        <f t="shared" si="0"/>
        <v>0</v>
      </c>
      <c r="S12" s="83"/>
      <c r="T12" s="84"/>
      <c r="U12" s="147">
        <f>IF($F$55&gt;=ROW()-11,◆入力◆④「1個放水」計算!U12,0)</f>
        <v>0</v>
      </c>
      <c r="V12" s="138">
        <f>IF($F$55&gt;=ROW()-11,◆入力◆④「1個放水」計算!V12,0)</f>
        <v>0</v>
      </c>
      <c r="W12" s="82">
        <f>IF($U12="Yスト",AC12,IF($I10="sgp-vb",AD12,IF($I10="sgp-pb",AE12,IF($I10="hivp",AF12,IF(OR($I10="sgp",$I10="フレキ"),AG12,IF($I10="sus",AH12,IF(OR($I10="PE",$I10="PP"),AI12,0)))))))</f>
        <v>0</v>
      </c>
      <c r="X12" s="82">
        <f t="shared" si="1"/>
        <v>0</v>
      </c>
      <c r="Y12" s="83"/>
      <c r="Z12" s="92">
        <f>ROUNDUP(L11*Y11,2)</f>
        <v>0</v>
      </c>
      <c r="AA12" s="40"/>
      <c r="AB12" s="93"/>
      <c r="AC12" s="90">
        <f>IF(U12="Yスト",IF(I10="SGP-VB",LOOKUP(I11,◆入力◆④「1個放水」計算!$AL$4:$AX$4,◆入力◆④「1個放水」計算!$AL$11:$AX$11),IF(I10="SGP-PB",LOOKUP(I11,◆入力◆④「1個放水」計算!$AL$15:$AX$15,◆入力◆④「1個放水」計算!$AL$22:$AX$22),IF(I10="HIVP",LOOKUP(I11,◆入力◆④「1個放水」計算!$AL$26:$AX$26,◆入力◆④「1個放水」計算!$AL$33:$AX$33),IF(OR(I10="SGP",I10="フレキ"),LOOKUP(I11,◆入力◆④「1個放水」計算!$AL$37:$AX$37,◆入力◆④「1個放水」計算!$AL$44:$AX$44),IF(I10="SUS",LOOKUP(I11,◆入力◆④「1個放水」計算!$AL$48:$AX$48,◆入力◆④「1個放水」計算!$AL$55:$AX$55),IF(OR(I10="PE",I10="PP"),LOOKUP(I11,◆入力◆④「1個放水」計算!$AL$59:$AX$59,◆入力◆④「1個放水」計算!$AL$67:$AX$67))))))),0)</f>
        <v>0</v>
      </c>
      <c r="AD12" s="90">
        <f>IF($U12="仕切弁",LOOKUP($I11,◆入力◆④「1個放水」計算!$AL$4:$AX$4,◆入力◆④「1個放水」計算!$AL$9:$AX$9),IF($U12="逆止弁",LOOKUP($I11,◆入力◆④「1個放水」計算!$AL$4:$AX$4,◆入力◆④「1個放水」計算!$AL$10:$AX$10),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E12" s="90">
        <f>IF($U12="仕切弁",LOOKUP($I11,◆入力◆④「1個放水」計算!$AL$15:$AX$15,◆入力◆④「1個放水」計算!$AL$20:$AX$20),IF($U12="逆止弁",LOOKUP($I11,◆入力◆④「1個放水」計算!$AL$15:$AX$15,◆入力◆④「1個放水」計算!$AL$21:$AX$21),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F12" s="90">
        <f>IF($U12="仕切弁",LOOKUP($I11,◆入力◆④「1個放水」計算!$AL$26:$AX$26,◆入力◆④「1個放水」計算!$AL$31:$AX$31),IF($U12="逆止弁",LOOKUP($I11,◆入力◆④「1個放水」計算!$AL$26:$AX$26,◆入力◆④「1個放水」計算!$AL$32:$AX$32),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G12" s="90">
        <f>IF($U12="仕切弁",LOOKUP($I11,◆入力◆④「1個放水」計算!$AL$37:$AX$37,◆入力◆④「1個放水」計算!$AL$42:$AX$42),IF($U12="逆止弁",LOOKUP($I11,◆入力◆④「1個放水」計算!$AL$37:$AX$37,◆入力◆④「1個放水」計算!$AL$43:$AX$43),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H12" s="90">
        <f>IF($U12="仕切弁",LOOKUP($I11,◆入力◆④「1個放水」計算!$AL$48:$AX$48,◆入力◆④「1個放水」計算!$AL$53:$AX$53),IF($U12="逆止弁",LOOKUP($I11,◆入力◆④「1個放水」計算!$AL$48:$AX$48,◆入力◆④「1個放水」計算!$AL$54:$AX$54),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I12" s="90">
        <f>IF($U12="仕切弁",LOOKUP($I11,◆入力◆④「1個放水」計算!$AL$59:$AX$59,◆入力◆④「1個放水」計算!$AL$65:$AX$65),IF($U12="逆止弁",LOOKUP($I11,◆入力◆④「1個放水」計算!$AL$59:$AX$59,◆入力◆④「1個放水」計算!$AL$66:$AX$66),IF($U12="水道メーター",LOOKUP($I11,◆入力◆④「1個放水」計算!$AL$70:$AQ$70,◆入力◆④「1個放水」計算!$AL$71:$AQ$71),IF($U12="止水栓",LOOKUP($I11,◆入力◆④「1個放水」計算!$AL$70:$AQ$70,◆入力◆④「1個放水」計算!$AL$72:$AQ$72),IF($U12="分水栓",LOOKUP($I11,◆入力◆④「1個放水」計算!$AL$70:$AQ$70,◆入力◆④「1個放水」計算!$AL$73:$AQ$73),IF($U12="巻き出しフレキ",LOOKUP($I11,◆入力◆④「1個放水」計算!$AL$70:$AQ$70,◆入力◆④「1個放水」計算!$AL$74:$AQ$74),IF($U12="",0,0)))))))</f>
        <v>0</v>
      </c>
      <c r="AJ12" s="144"/>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row>
    <row r="13" spans="6:70" x14ac:dyDescent="0.15">
      <c r="F13" s="235" t="s">
        <v>22</v>
      </c>
      <c r="G13" s="40"/>
      <c r="H13" s="132"/>
      <c r="I13" s="133">
        <f>IF($F$55&gt;=ROW()-9,◆入力◆④「1個放水」計算!I13,0)</f>
        <v>0</v>
      </c>
      <c r="J13" s="121"/>
      <c r="K13" s="164"/>
      <c r="L13" s="95"/>
      <c r="M13" s="135"/>
      <c r="N13" s="85"/>
      <c r="O13" s="77">
        <f>IF(I14=0,0,"E９０°")</f>
        <v>0</v>
      </c>
      <c r="P13" s="136">
        <f>IF($F$55&gt;=ROW()-9,◆入力◆④「1個放水」計算!P13,0)</f>
        <v>0</v>
      </c>
      <c r="Q13" s="78">
        <f>IF(I14=0,0,IF(I13="SGP-VB",LOOKUP(I14,◆入力◆④「1個放水」計算!$AL$4:$AX$4,◆入力◆④「1個放水」計算!$AL$6:$AX$6),IF(I13="SGP-PB",LOOKUP(I14,◆入力◆④「1個放水」計算!$AL$15:$AX$15,◆入力◆④「1個放水」計算!$AL$17:$AX$17),IF(I13="HIVP",LOOKUP(I14,◆入力◆④「1個放水」計算!$AL$26:$AX$26,◆入力◆④「1個放水」計算!$AL$28:$AX$28),IF(OR(I13="SGP",I13="フレキ"),LOOKUP(I14,◆入力◆④「1個放水」計算!$AL$37:$AX$37,◆入力◆④「1個放水」計算!$AL$39:$AX$39),IF(I13="SUS",LOOKUP(I14,◆入力◆④「1個放水」計算!$AL$48:$AX$48,◆入力◆④「1個放水」計算!$AL$50:$AX$50),IF(OR(I13="PE",I13="PP"),LOOKUP(I14,◆入力◆④「1個放水」計算!$AL$59:$AX$59,◆入力◆④「1個放水」計算!$AL$61:$AX$61))))))))</f>
        <v>0</v>
      </c>
      <c r="R13" s="79">
        <f t="shared" si="0"/>
        <v>0</v>
      </c>
      <c r="S13" s="80"/>
      <c r="T13" s="81">
        <v>0</v>
      </c>
      <c r="U13" s="137">
        <f>IF($F$55&gt;=ROW()-9,◆入力◆④「1個放水」計算!U13,0)</f>
        <v>0</v>
      </c>
      <c r="V13" s="136">
        <f>IF($F$55&gt;=ROW()-9,◆入力◆④「1個放水」計算!V13,0)</f>
        <v>0</v>
      </c>
      <c r="W13" s="79">
        <f>IF($U13="Yスト",AC13,IF($I13="sgp-vb",AD13,IF($I13="sgp-pb",AE13,IF($I13="hivp",AF13,IF(OR($I13="sgp",$I13="フレキ"),AG13,IF($I13="sus",AH13,IF(OR($I13="PE",$I13="PP"),AI13,0)))))))</f>
        <v>0</v>
      </c>
      <c r="X13" s="79">
        <f t="shared" si="1"/>
        <v>0</v>
      </c>
      <c r="Y13" s="80"/>
      <c r="Z13" s="84">
        <f>IF(AND($U13="電動弁",$V13=1),LOOKUP($K14,◆入力◆④「1個放水」計算!$AL$77:$BQ$77,◆入力◆④「1個放水」計算!$AL$78:$BQ$78),IF(AND($U14="電動弁",$V14=1),LOOKUP($K14,◆入力◆④「1個放水」計算!$AL$77:$BQ$77,◆入力◆④「1個放水」計算!$AL$78:$BQ$78),IF(AND($U15="電動弁",$V15=1),LOOKUP($K14,◆入力◆④「1個放水」計算!$AL$77:$BQ$77,◆入力◆④「1個放水」計算!$AL$78:$BQ$78),0)))</f>
        <v>0</v>
      </c>
      <c r="AA13" s="40"/>
      <c r="AB13" s="76"/>
      <c r="AC13" s="86">
        <f>IF(U13="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3" s="86">
        <f>IF($U13="仕切弁",LOOKUP($I14,◆入力◆④「1個放水」計算!$AL$4:$AX$4,◆入力◆④「1個放水」計算!$AL$9:$AX$9),IF($U13="逆止弁",LOOKUP($I14,◆入力◆④「1個放水」計算!$AL$4:$AX$4,◆入力◆④「1個放水」計算!$AL$10:$AX$10),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E13" s="86">
        <f>IF($U13="仕切弁",LOOKUP($I14,◆入力◆④「1個放水」計算!$AL$15:$AX$15,◆入力◆④「1個放水」計算!$AL$20:$AX$20),IF($U13="逆止弁",LOOKUP($I14,◆入力◆④「1個放水」計算!$AL$15:$AX$15,◆入力◆④「1個放水」計算!$AL$21:$AX$21),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F13" s="86">
        <f>IF($U13="仕切弁",LOOKUP($I14,◆入力◆④「1個放水」計算!$AL$26:$AX$26,◆入力◆④「1個放水」計算!$AL$31:$AX$31),IF($U13="逆止弁",LOOKUP($I14,◆入力◆④「1個放水」計算!$AL$26:$AX$26,◆入力◆④「1個放水」計算!$AL$32:$AX$32),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G13" s="86">
        <f>IF($U13="仕切弁",LOOKUP($I14,◆入力◆④「1個放水」計算!$AL$37:$AX$37,◆入力◆④「1個放水」計算!$AL$42:$AX$42),IF($U13="逆止弁",LOOKUP($I14,◆入力◆④「1個放水」計算!$AL$37:$AX$37,◆入力◆④「1個放水」計算!$AL$43:$AX$43),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H13" s="86">
        <f>IF($U13="仕切弁",LOOKUP($I14,◆入力◆④「1個放水」計算!$AL$48:$AX$48,◆入力◆④「1個放水」計算!$AL$53:$AX$53),IF($U13="逆止弁",LOOKUP($I14,◆入力◆④「1個放水」計算!$AL$48:$AX$48,◆入力◆④「1個放水」計算!$AL$54:$AX$54),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I13" s="86">
        <f>IF($U13="仕切弁",LOOKUP($I14,◆入力◆④「1個放水」計算!$AL$59:$AX$59,◆入力◆④「1個放水」計算!$AL$65:$AX$65),IF($U13="逆止弁",LOOKUP($I14,◆入力◆④「1個放水」計算!$AL$59:$AX$59,◆入力◆④「1個放水」計算!$AL$66:$AX$66),IF($U13="水道メーター",LOOKUP($I14,◆入力◆④「1個放水」計算!$AL$70:$AQ$70,◆入力◆④「1個放水」計算!$AL$71:$AQ$71),IF($U13="止水栓",LOOKUP($I14,◆入力◆④「1個放水」計算!$AL$70:$AQ$70,◆入力◆④「1個放水」計算!$AL$72:$AQ$72),IF($U13="分水栓",LOOKUP($I14,◆入力◆④「1個放水」計算!$AL$70:$AQ$70,◆入力◆④「1個放水」計算!$AL$73:$AQ$73),IF($U13="巻き出しフレキ",LOOKUP($I14,◆入力◆④「1個放水」計算!$AL$70:$AQ$70,◆入力◆④「1個放水」計算!$AL$74:$AQ$74),IF($U13="",0,0)))))))</f>
        <v>0</v>
      </c>
      <c r="AJ13" s="144"/>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row>
    <row r="14" spans="6:70" x14ac:dyDescent="0.15">
      <c r="F14" s="235"/>
      <c r="G14" s="40"/>
      <c r="H14" s="149">
        <f>IF($F$55&gt;=ROW()-10,◆入力◆④「1個放水」計算!H14,0)</f>
        <v>0</v>
      </c>
      <c r="I14" s="140">
        <f>IF($F$55&gt;=ROW()-10,◆入力◆④「1個放水」計算!I14,0)</f>
        <v>0</v>
      </c>
      <c r="J14" s="121"/>
      <c r="K14" s="165">
        <f>IF($F$55&gt;=ROW()-10,◆入力◆④「1個放水」計算!K14,0)</f>
        <v>0</v>
      </c>
      <c r="L14" s="74">
        <f>IF(I14=0,0,IF(I14&gt;=65,K14^1.85*0.012/I15^4.87,ROUNDUP((0.0126+(0.01739-(0.1087*I15/100))/SQRT(4*K14/(60000*PI()*(I15/100)^2)))*(1/(I15/100))*((4*K14/(60000*PI()*(I15/100)^2))^2/(2*9.8)),4)))</f>
        <v>0</v>
      </c>
      <c r="M14" s="142">
        <f>IF($F$55&gt;=ROW()-10,◆入力◆④「1個放水」計算!M14,0)</f>
        <v>0</v>
      </c>
      <c r="N14" s="84">
        <f>ROUNDUP(L14*M14,2)</f>
        <v>0</v>
      </c>
      <c r="O14" s="87">
        <f>IF(I14=0,0,"Ｔ直")</f>
        <v>0</v>
      </c>
      <c r="P14" s="138">
        <f>IF($F$55&gt;=ROW()-10,◆入力◆④「1個放水」計算!P14,0)</f>
        <v>0</v>
      </c>
      <c r="Q14" s="88">
        <f>IF(I14=0,0,IF(I13="SGP-VB",LOOKUP(I14,◆入力◆④「1個放水」計算!$AL$4:$AX$4,◆入力◆④「1個放水」計算!$AL$7:$AX$7),IF(I13="SGP-PB",LOOKUP(I14,◆入力◆④「1個放水」計算!$AL$15:$AX$15,◆入力◆④「1個放水」計算!$AL$18:$AX$18),IF(I13="HIVP",LOOKUP(I14,◆入力◆④「1個放水」計算!$AL$26:$AX$26,◆入力◆④「1個放水」計算!$AL$29:$AX$29),IF(OR(I13="SGP",I13="フレキ"),LOOKUP(I14,◆入力◆④「1個放水」計算!$AL$37:$AX$37,◆入力◆④「1個放水」計算!$AL$40:$AX$40),IF(I13="SUS",LOOKUP(I14,◆入力◆④「1個放水」計算!$AL$48:$AX$48,◆入力◆④「1個放水」計算!$AL$51:$AX$51),IF(OR(I13="PE",I13="PP"),LOOKUP(I14,◆入力◆④「1個放水」計算!$AL$59:$AX$59,◆入力◆④「1個放水」計算!$AL$63:$AX$63))))))))</f>
        <v>0</v>
      </c>
      <c r="R14" s="82">
        <f t="shared" si="0"/>
        <v>0</v>
      </c>
      <c r="S14" s="83">
        <f>R13+R14+R15</f>
        <v>0</v>
      </c>
      <c r="T14" s="84">
        <f>ROUNDUP(L14*S14,2)</f>
        <v>0</v>
      </c>
      <c r="U14" s="143">
        <f>IF($F$55&gt;=ROW()-10,◆入力◆④「1個放水」計算!U14,0)</f>
        <v>0</v>
      </c>
      <c r="V14" s="138">
        <f>IF($F$55&gt;=ROW()-10,◆入力◆④「1個放水」計算!V14,0)</f>
        <v>0</v>
      </c>
      <c r="W14" s="82">
        <f>IF($U14="Yスト",AC14,IF($I13="sgp-vb",AD14,IF($I13="sgp-pb",AE14,IF($I13="hivp",AF14,IF(OR($I13="sgp",$I13="フレキ"),AG14,IF($I13="sus",AH14,IF(OR($I13="PE",$I13="PP"),AI14,0)))))))</f>
        <v>0</v>
      </c>
      <c r="X14" s="82">
        <f t="shared" si="1"/>
        <v>0</v>
      </c>
      <c r="Y14" s="83">
        <f>SUM(X13:X15)</f>
        <v>0</v>
      </c>
      <c r="Z14" s="84"/>
      <c r="AA14" s="40"/>
      <c r="AB14" s="84">
        <f>N14+T14+Z13+Z14+Z15</f>
        <v>0</v>
      </c>
      <c r="AC14" s="89">
        <f>IF(U14="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4" s="90">
        <f>IF($U14="仕切弁",LOOKUP($I14,◆入力◆④「1個放水」計算!$AL$4:$AX$4,◆入力◆④「1個放水」計算!$AL$9:$AX$9),IF($U14="逆止弁",LOOKUP($I14,◆入力◆④「1個放水」計算!$AL$4:$AX$4,◆入力◆④「1個放水」計算!$AL$10:$AX$10),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E14" s="90">
        <f>IF($U14="仕切弁",LOOKUP($I14,◆入力◆④「1個放水」計算!$AL$15:$AX$15,◆入力◆④「1個放水」計算!$AL$20:$AX$20),IF($U14="逆止弁",LOOKUP($I14,◆入力◆④「1個放水」計算!$AL$15:$AX$15,◆入力◆④「1個放水」計算!$AL$21:$AX$21),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F14" s="90">
        <f>IF($U14="仕切弁",LOOKUP($I14,◆入力◆④「1個放水」計算!$AL$26:$AX$26,◆入力◆④「1個放水」計算!$AL$31:$AX$31),IF($U14="逆止弁",LOOKUP($I14,◆入力◆④「1個放水」計算!$AL$26:$AX$26,◆入力◆④「1個放水」計算!$AL$32:$AX$32),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G14" s="90">
        <f>IF($U14="仕切弁",LOOKUP($I14,◆入力◆④「1個放水」計算!$AL$37:$AX$37,◆入力◆④「1個放水」計算!$AL$42:$AX$42),IF($U14="逆止弁",LOOKUP($I14,◆入力◆④「1個放水」計算!$AL$37:$AX$37,◆入力◆④「1個放水」計算!$AL$43:$AX$43),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H14" s="90">
        <f>IF($U14="仕切弁",LOOKUP($I14,◆入力◆④「1個放水」計算!$AL$48:$AX$48,◆入力◆④「1個放水」計算!$AL$53:$AX$53),IF($U14="逆止弁",LOOKUP($I14,◆入力◆④「1個放水」計算!$AL$48:$AX$48,◆入力◆④「1個放水」計算!$AL$54:$AX$54),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I14" s="90">
        <f>IF($U14="仕切弁",LOOKUP($I14,◆入力◆④「1個放水」計算!$AL$59:$AX$59,◆入力◆④「1個放水」計算!$AL$65:$AX$65),IF($U14="逆止弁",LOOKUP($I14,◆入力◆④「1個放水」計算!$AL$59:$AX$59,◆入力◆④「1個放水」計算!$AL$66:$AX$66),IF($U14="水道メーター",LOOKUP($I14,◆入力◆④「1個放水」計算!$AL$70:$AQ$70,◆入力◆④「1個放水」計算!$AL$71:$AQ$71),IF($U14="止水栓",LOOKUP($I14,◆入力◆④「1個放水」計算!$AL$70:$AQ$70,◆入力◆④「1個放水」計算!$AL$72:$AQ$72),IF($U14="分水栓",LOOKUP($I14,◆入力◆④「1個放水」計算!$AL$70:$AQ$70,◆入力◆④「1個放水」計算!$AL$73:$AQ$73),IF($U14="巻き出しフレキ",LOOKUP($I14,◆入力◆④「1個放水」計算!$AL$70:$AQ$70,◆入力◆④「1個放水」計算!$AL$74:$AQ$74),IF($U14="",0,0)))))))</f>
        <v>0</v>
      </c>
      <c r="AJ14" s="144"/>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row>
    <row r="15" spans="6:70" x14ac:dyDescent="0.15">
      <c r="F15" s="235"/>
      <c r="G15" s="40"/>
      <c r="H15" s="149"/>
      <c r="I15" s="146" t="b">
        <f>IF(I14="",0,IF(I13="SGP-VB",LOOKUP(I14,◆入力◆④「1個放水」計算!$AL$4:$AX$4,◆入力◆④「1個放水」計算!$AL$5:$AX$5),IF(I13="SGP-PB",LOOKUP(I14,◆入力◆④「1個放水」計算!$AL$15:$AX$15,◆入力◆④「1個放水」計算!$AL$16:$AX$16),IF(I13="HIVP",LOOKUP(I14,◆入力◆④「1個放水」計算!$AL$26:$AX$26,◆入力◆④「1個放水」計算!$AL$27:$AX$27),IF(OR(I13="SGP",I13="フレキ"),LOOKUP(I14,◆入力◆④「1個放水」計算!$AL$37:$AX$37,◆入力◆④「1個放水」計算!$AL$38:$AX$38),IF(I13="SUS",LOOKUP(I14,◆入力◆④「1個放水」計算!$AL$48:$AX$48,◆入力◆④「1個放水」計算!$AL$49:$AX$49),IF(OR(I13="PE",I13="PP"),LOOKUP(I14,◆入力◆④「1個放水」計算!$AL$59:$AX$59,◆入力◆④「1個放水」計算!$AL$60:$AX$60))))))))</f>
        <v>0</v>
      </c>
      <c r="J15" s="121"/>
      <c r="K15" s="165"/>
      <c r="L15" s="98"/>
      <c r="M15" s="151"/>
      <c r="N15" s="93"/>
      <c r="O15" s="87">
        <f>IF(I14=0,0,"Ｔ分")</f>
        <v>0</v>
      </c>
      <c r="P15" s="152">
        <f>IF($F$55&gt;=ROW()-11,◆入力◆④「1個放水」計算!P15,0)</f>
        <v>0</v>
      </c>
      <c r="Q15" s="88">
        <f>IF(I14=0,0,IF(I13="SGP-VB",LOOKUP(I14,◆入力◆④「1個放水」計算!$AL$4:$AX$4,◆入力◆④「1個放水」計算!$AL$8:$AX$8),IF(I13="SGP-PB",LOOKUP(I14,◆入力◆④「1個放水」計算!$AL$15:$AX$15,◆入力◆④「1個放水」計算!$AL$19:$AX$19),IF(I13="HIVP",LOOKUP(I14,◆入力◆④「1個放水」計算!$AL$26:$AX$26,◆入力◆④「1個放水」計算!$AL$30:$AX$30),IF(OR(I13="SGP",I13="フレキ"),LOOKUP(I14,◆入力◆④「1個放水」計算!$AL$37:$AX$37,◆入力◆④「1個放水」計算!$AL$41:$AX$41),IF(I13="SUS",LOOKUP(I14,◆入力◆④「1個放水」計算!$AL$48:$AX$48,◆入力◆④「1個放水」計算!$AL$52:$AX$52),IF(OR(I13="PE",I13="PP"),LOOKUP(I14,◆入力◆④「1個放水」計算!$AL$59:$AX$59,◆入力◆④「1個放水」計算!$AL$64:$AX$64))))))))</f>
        <v>0</v>
      </c>
      <c r="R15" s="100">
        <f t="shared" si="0"/>
        <v>0</v>
      </c>
      <c r="S15" s="101"/>
      <c r="T15" s="92"/>
      <c r="U15" s="153">
        <f>IF($F$55&gt;=ROW()-11,◆入力◆④「1個放水」計算!U15,0)</f>
        <v>0</v>
      </c>
      <c r="V15" s="152">
        <f>IF($F$55&gt;=ROW()-11,◆入力◆④「1個放水」計算!V15,0)</f>
        <v>0</v>
      </c>
      <c r="W15" s="100">
        <f>IF($U15="Yスト",AC15,IF($I13="sgp-vb",AD15,IF($I13="sgp-pb",AE15,IF($I13="hivp",AF15,IF(OR($I13="sgp",$I13="フレキ"),AG15,IF($I13="sus",AH15,IF(OR($I13="PE",$I13="PP"),AI15,0)))))))</f>
        <v>0</v>
      </c>
      <c r="X15" s="100">
        <f t="shared" si="1"/>
        <v>0</v>
      </c>
      <c r="Y15" s="101"/>
      <c r="Z15" s="92">
        <f>ROUNDUP(L14*Y14,2)</f>
        <v>0</v>
      </c>
      <c r="AA15" s="40"/>
      <c r="AB15" s="76"/>
      <c r="AC15" s="90">
        <f>IF(U15="Yスト",IF(I13="SGP-VB",LOOKUP(I14,◆入力◆④「1個放水」計算!$AL$4:$AX$4,◆入力◆④「1個放水」計算!$AL$11:$AX$11),IF(I13="SGP-PB",LOOKUP(I14,◆入力◆④「1個放水」計算!$AL$15:$AX$15,◆入力◆④「1個放水」計算!$AL$22:$AX$22),IF(I13="HIVP",LOOKUP(I14,◆入力◆④「1個放水」計算!$AL$26:$AX$26,◆入力◆④「1個放水」計算!$AL$33:$AX$33),IF(OR(I13="SGP",I13="フレキ"),LOOKUP(I14,◆入力◆④「1個放水」計算!$AL$37:$AX$37,◆入力◆④「1個放水」計算!$AL$44:$AX$44),IF(I13="SUS",LOOKUP(I14,◆入力◆④「1個放水」計算!$AL$48:$AX$48,◆入力◆④「1個放水」計算!$AL$55:$AX$55),IF(OR(I13="PE",I13="PP"),LOOKUP(I14,◆入力◆④「1個放水」計算!$AL$59:$AX$59,◆入力◆④「1個放水」計算!$AL$67:$AX$67))))))),0)</f>
        <v>0</v>
      </c>
      <c r="AD15" s="90">
        <f>IF($U15="仕切弁",LOOKUP($I14,◆入力◆④「1個放水」計算!$AL$4:$AX$4,◆入力◆④「1個放水」計算!$AL$9:$AX$9),IF($U15="逆止弁",LOOKUP($I14,◆入力◆④「1個放水」計算!$AL$4:$AX$4,◆入力◆④「1個放水」計算!$AL$10:$AX$10),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E15" s="90">
        <f>IF($U15="仕切弁",LOOKUP($I14,◆入力◆④「1個放水」計算!$AL$15:$AX$15,◆入力◆④「1個放水」計算!$AL$20:$AX$20),IF($U15="逆止弁",LOOKUP($I14,◆入力◆④「1個放水」計算!$AL$15:$AX$15,◆入力◆④「1個放水」計算!$AL$21:$AX$21),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F15" s="90">
        <f>IF($U15="仕切弁",LOOKUP($I14,◆入力◆④「1個放水」計算!$AL$26:$AX$26,◆入力◆④「1個放水」計算!$AL$31:$AX$31),IF($U15="逆止弁",LOOKUP($I14,◆入力◆④「1個放水」計算!$AL$26:$AX$26,◆入力◆④「1個放水」計算!$AL$32:$AX$32),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G15" s="90">
        <f>IF($U15="仕切弁",LOOKUP($I14,◆入力◆④「1個放水」計算!$AL$37:$AX$37,◆入力◆④「1個放水」計算!$AL$42:$AX$42),IF($U15="逆止弁",LOOKUP($I14,◆入力◆④「1個放水」計算!$AL$37:$AX$37,◆入力◆④「1個放水」計算!$AL$43:$AX$43),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H15" s="90">
        <f>IF($U15="仕切弁",LOOKUP($I14,◆入力◆④「1個放水」計算!$AL$48:$AX$48,◆入力◆④「1個放水」計算!$AL$53:$AX$53),IF($U15="逆止弁",LOOKUP($I14,◆入力◆④「1個放水」計算!$AL$48:$AX$48,◆入力◆④「1個放水」計算!$AL$54:$AX$54),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I15" s="90">
        <f>IF($U15="仕切弁",LOOKUP($I14,◆入力◆④「1個放水」計算!$AL$59:$AX$59,◆入力◆④「1個放水」計算!$AL$65:$AX$65),IF($U15="逆止弁",LOOKUP($I14,◆入力◆④「1個放水」計算!$AL$59:$AX$59,◆入力◆④「1個放水」計算!$AL$66:$AX$66),IF($U15="水道メーター",LOOKUP($I14,◆入力◆④「1個放水」計算!$AL$70:$AQ$70,◆入力◆④「1個放水」計算!$AL$71:$AQ$71),IF($U15="止水栓",LOOKUP($I14,◆入力◆④「1個放水」計算!$AL$70:$AQ$70,◆入力◆④「1個放水」計算!$AL$72:$AQ$72),IF($U15="分水栓",LOOKUP($I14,◆入力◆④「1個放水」計算!$AL$70:$AQ$70,◆入力◆④「1個放水」計算!$AL$73:$AQ$73),IF($U15="巻き出しフレキ",LOOKUP($I14,◆入力◆④「1個放水」計算!$AL$70:$AQ$70,◆入力◆④「1個放水」計算!$AL$74:$AQ$74),IF($U15="",0,0)))))))</f>
        <v>0</v>
      </c>
      <c r="AJ15" s="144"/>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row>
    <row r="16" spans="6:70" x14ac:dyDescent="0.15">
      <c r="F16" s="235" t="s">
        <v>23</v>
      </c>
      <c r="G16" s="40"/>
      <c r="H16" s="132"/>
      <c r="I16" s="133">
        <f>IF($F$55&gt;=ROW()-9,◆入力◆④「1個放水」計算!I16,0)</f>
        <v>0</v>
      </c>
      <c r="J16" s="121"/>
      <c r="K16" s="164"/>
      <c r="L16" s="74"/>
      <c r="M16" s="142"/>
      <c r="N16" s="76"/>
      <c r="O16" s="77">
        <f>IF(I17=0,0,"E９０°")</f>
        <v>0</v>
      </c>
      <c r="P16" s="136">
        <f>IF($F$55&gt;=ROW()-9,◆入力◆④「1個放水」計算!P16,0)</f>
        <v>0</v>
      </c>
      <c r="Q16" s="78">
        <f>IF(I17=0,0,IF(I16="SGP-VB",LOOKUP(I17,◆入力◆④「1個放水」計算!$AL$4:$AX$4,◆入力◆④「1個放水」計算!$AL$6:$AX$6),IF(I16="SGP-PB",LOOKUP(I17,◆入力◆④「1個放水」計算!$AL$15:$AX$15,◆入力◆④「1個放水」計算!$AL$17:$AX$17),IF(I16="HIVP",LOOKUP(I17,◆入力◆④「1個放水」計算!$AL$26:$AX$26,◆入力◆④「1個放水」計算!$AL$28:$AX$28),IF(OR(I16="SGP",I16="フレキ"),LOOKUP(I17,◆入力◆④「1個放水」計算!$AL$37:$AX$37,◆入力◆④「1個放水」計算!$AL$39:$AX$39),IF(I16="SUS",LOOKUP(I17,◆入力◆④「1個放水」計算!$AL$48:$AX$48,◆入力◆④「1個放水」計算!$AL$50:$AX$50),IF(OR(I16="PE",I16="PP"),LOOKUP(I17,◆入力◆④「1個放水」計算!$AL$59:$AX$59,◆入力◆④「1個放水」計算!$AL$61:$AX$61))))))))</f>
        <v>0</v>
      </c>
      <c r="R16" s="79">
        <f t="shared" si="0"/>
        <v>0</v>
      </c>
      <c r="S16" s="80"/>
      <c r="T16" s="81">
        <v>0</v>
      </c>
      <c r="U16" s="137">
        <f>IF($F$55&gt;=ROW()-9,◆入力◆④「1個放水」計算!U16,0)</f>
        <v>0</v>
      </c>
      <c r="V16" s="138">
        <f>IF($F$55&gt;=ROW()-9,◆入力◆④「1個放水」計算!V16,0)</f>
        <v>0</v>
      </c>
      <c r="W16" s="82">
        <f>IF($U16="Yスト",AC16,IF($I16="sgp-vb",AD16,IF($I16="sgp-pb",AE16,IF($I16="hivp",AF16,IF(OR($I16="sgp",$I16="フレキ"),AG16,IF($I16="sus",AH16,IF(OR($I16="PE",$I16="PP"),AI16,0)))))))</f>
        <v>0</v>
      </c>
      <c r="X16" s="82">
        <f t="shared" si="1"/>
        <v>0</v>
      </c>
      <c r="Y16" s="83"/>
      <c r="Z16" s="84">
        <f>IF(AND($U16="電動弁",$V16=1),LOOKUP($K17,◆入力◆④「1個放水」計算!$AL$77:$BQ$77,◆入力◆④「1個放水」計算!$AL$78:$BQ$78),IF(AND($U17="電動弁",$V17=1),LOOKUP($K17,◆入力◆④「1個放水」計算!$AL$77:$BQ$77,◆入力◆④「1個放水」計算!$AL$78:$BQ$78),IF(AND($U18="電動弁",$V18=1),LOOKUP($K17,◆入力◆④「1個放水」計算!$AL$77:$BQ$77,◆入力◆④「1個放水」計算!$AL$78:$BQ$78),0)))</f>
        <v>0</v>
      </c>
      <c r="AA16" s="40"/>
      <c r="AB16" s="85"/>
      <c r="AC16" s="86">
        <f>IF(U16="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6" s="86">
        <f>IF($U16="仕切弁",LOOKUP($I17,◆入力◆④「1個放水」計算!$AL$4:$AX$4,◆入力◆④「1個放水」計算!$AL$9:$AX$9),IF($U16="逆止弁",LOOKUP($I17,◆入力◆④「1個放水」計算!$AL$4:$AX$4,◆入力◆④「1個放水」計算!$AL$10:$AX$10),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E16" s="86">
        <f>IF($U16="仕切弁",LOOKUP($I17,◆入力◆④「1個放水」計算!$AL$15:$AX$15,◆入力◆④「1個放水」計算!$AL$20:$AX$20),IF($U16="逆止弁",LOOKUP($I17,◆入力◆④「1個放水」計算!$AL$15:$AX$15,◆入力◆④「1個放水」計算!$AL$21:$AX$21),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F16" s="86">
        <f>IF($U16="仕切弁",LOOKUP($I17,◆入力◆④「1個放水」計算!$AL$26:$AX$26,◆入力◆④「1個放水」計算!$AL$31:$AX$31),IF($U16="逆止弁",LOOKUP($I17,◆入力◆④「1個放水」計算!$AL$26:$AX$26,◆入力◆④「1個放水」計算!$AL$32:$AX$32),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G16" s="86">
        <f>IF($U16="仕切弁",LOOKUP($I17,◆入力◆④「1個放水」計算!$AL$37:$AX$37,◆入力◆④「1個放水」計算!$AL$42:$AX$42),IF($U16="逆止弁",LOOKUP($I17,◆入力◆④「1個放水」計算!$AL$37:$AX$37,◆入力◆④「1個放水」計算!$AL$43:$AX$43),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H16" s="86">
        <f>IF($U16="仕切弁",LOOKUP($I17,◆入力◆④「1個放水」計算!$AL$48:$AX$48,◆入力◆④「1個放水」計算!$AL$53:$AX$53),IF($U16="逆止弁",LOOKUP($I17,◆入力◆④「1個放水」計算!$AL$48:$AX$48,◆入力◆④「1個放水」計算!$AL$54:$AX$54),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I16" s="86">
        <f>IF($U16="仕切弁",LOOKUP($I17,◆入力◆④「1個放水」計算!$AL$59:$AX$59,◆入力◆④「1個放水」計算!$AL$65:$AX$65),IF($U16="逆止弁",LOOKUP($I17,◆入力◆④「1個放水」計算!$AL$59:$AX$59,◆入力◆④「1個放水」計算!$AL$66:$AX$66),IF($U16="水道メーター",LOOKUP($I17,◆入力◆④「1個放水」計算!$AL$70:$AQ$70,◆入力◆④「1個放水」計算!$AL$71:$AQ$71),IF($U16="止水栓",LOOKUP($I17,◆入力◆④「1個放水」計算!$AL$70:$AQ$70,◆入力◆④「1個放水」計算!$AL$72:$AQ$72),IF($U16="分水栓",LOOKUP($I17,◆入力◆④「1個放水」計算!$AL$70:$AQ$70,◆入力◆④「1個放水」計算!$AL$73:$AQ$73),IF($U16="巻き出しフレキ",LOOKUP($I17,◆入力◆④「1個放水」計算!$AL$70:$AQ$70,◆入力◆④「1個放水」計算!$AL$74:$AQ$74),IF($U16="",0,0)))))))</f>
        <v>0</v>
      </c>
      <c r="AJ16" s="144"/>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row>
    <row r="17" spans="6:70" x14ac:dyDescent="0.15">
      <c r="F17" s="235"/>
      <c r="G17" s="40"/>
      <c r="H17" s="149">
        <f>IF($F$55&gt;=ROW()-10,◆入力◆④「1個放水」計算!H17,0)</f>
        <v>0</v>
      </c>
      <c r="I17" s="140">
        <f>IF($F$55&gt;=ROW()-10,◆入力◆④「1個放水」計算!I17,0)</f>
        <v>0</v>
      </c>
      <c r="J17" s="121"/>
      <c r="K17" s="165">
        <f>IF($F$55&gt;=ROW()-10,◆入力◆④「1個放水」計算!K17,0)</f>
        <v>0</v>
      </c>
      <c r="L17" s="74">
        <f>IF(I17=0,0,IF(I17&gt;=65,K17^1.85*0.012/I18^4.87,ROUNDUP((0.0126+(0.01739-(0.1087*I18/100))/SQRT(4*K17/(60000*PI()*(I18/100)^2)))*(1/(I18/100))*((4*K17/(60000*PI()*(I18/100)^2))^2/(2*9.8)),4)))</f>
        <v>0</v>
      </c>
      <c r="M17" s="142">
        <f>IF($F$55&gt;=ROW()-10,◆入力◆④「1個放水」計算!M17,0)</f>
        <v>0</v>
      </c>
      <c r="N17" s="84">
        <f>ROUNDUP(L17*M17,2)</f>
        <v>0</v>
      </c>
      <c r="O17" s="87">
        <f>IF(I17=0,0,"Ｔ直")</f>
        <v>0</v>
      </c>
      <c r="P17" s="138">
        <f>IF($F$55&gt;=ROW()-10,◆入力◆④「1個放水」計算!P17,0)</f>
        <v>0</v>
      </c>
      <c r="Q17" s="88">
        <f>IF(I17=0,0,IF(I16="SGP-VB",LOOKUP(I17,◆入力◆④「1個放水」計算!$AL$4:$AX$4,◆入力◆④「1個放水」計算!$AL$7:$AX$7),IF(I16="SGP-PB",LOOKUP(I17,◆入力◆④「1個放水」計算!$AL$15:$AX$15,◆入力◆④「1個放水」計算!$AL$18:$AX$18),IF(I16="HIVP",LOOKUP(I17,◆入力◆④「1個放水」計算!$AL$26:$AX$26,◆入力◆④「1個放水」計算!$AL$29:$AX$29),IF(OR(I16="SGP",I16="フレキ"),LOOKUP(I17,◆入力◆④「1個放水」計算!$AL$37:$AX$37,◆入力◆④「1個放水」計算!$AL$40:$AX$40),IF(I16="SUS",LOOKUP(I17,◆入力◆④「1個放水」計算!$AL$48:$AX$48,◆入力◆④「1個放水」計算!$AL$51:$AX$51),IF(OR(I16="PE",I16="PP"),LOOKUP(I17,◆入力◆④「1個放水」計算!$AL$59:$AX$59,◆入力◆④「1個放水」計算!$AL$63:$AX$63))))))))</f>
        <v>0</v>
      </c>
      <c r="R17" s="82">
        <f t="shared" si="0"/>
        <v>0</v>
      </c>
      <c r="S17" s="83">
        <f>R16+R17+R18</f>
        <v>0</v>
      </c>
      <c r="T17" s="84">
        <f>ROUNDUP(L17*S17,2)</f>
        <v>0</v>
      </c>
      <c r="U17" s="143">
        <f>IF($F$55&gt;=ROW()-10,◆入力◆④「1個放水」計算!U17,0)</f>
        <v>0</v>
      </c>
      <c r="V17" s="138">
        <f>IF($F$55&gt;=ROW()-10,◆入力◆④「1個放水」計算!V17,0)</f>
        <v>0</v>
      </c>
      <c r="W17" s="82">
        <f>IF($U17="Yスト",AC17,IF($I16="sgp-vb",AD17,IF($I16="sgp-pb",AE17,IF($I16="hivp",AF17,IF(OR($I16="sgp",$I16="フレキ"),AG17,IF($I16="sus",AH17,IF(OR($I16="PE",$I16="PP"),AI17,0)))))))</f>
        <v>0</v>
      </c>
      <c r="X17" s="82">
        <f t="shared" si="1"/>
        <v>0</v>
      </c>
      <c r="Y17" s="83">
        <f>SUM(X16:X18)</f>
        <v>0</v>
      </c>
      <c r="Z17" s="84"/>
      <c r="AA17" s="40"/>
      <c r="AB17" s="84">
        <f>N17+T17+Z16+Z17+Z18</f>
        <v>0</v>
      </c>
      <c r="AC17" s="89">
        <f>IF(U17="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7" s="90">
        <f>IF($U17="仕切弁",LOOKUP($I17,◆入力◆④「1個放水」計算!$AL$4:$AX$4,◆入力◆④「1個放水」計算!$AL$9:$AX$9),IF($U17="逆止弁",LOOKUP($I17,◆入力◆④「1個放水」計算!$AL$4:$AX$4,◆入力◆④「1個放水」計算!$AL$10:$AX$10),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E17" s="90">
        <f>IF($U17="仕切弁",LOOKUP($I17,◆入力◆④「1個放水」計算!$AL$15:$AX$15,◆入力◆④「1個放水」計算!$AL$20:$AX$20),IF($U17="逆止弁",LOOKUP($I17,◆入力◆④「1個放水」計算!$AL$15:$AX$15,◆入力◆④「1個放水」計算!$AL$21:$AX$21),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F17" s="90">
        <f>IF($U17="仕切弁",LOOKUP($I17,◆入力◆④「1個放水」計算!$AL$26:$AX$26,◆入力◆④「1個放水」計算!$AL$31:$AX$31),IF($U17="逆止弁",LOOKUP($I17,◆入力◆④「1個放水」計算!$AL$26:$AX$26,◆入力◆④「1個放水」計算!$AL$32:$AX$32),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G17" s="90">
        <f>IF($U17="仕切弁",LOOKUP($I17,◆入力◆④「1個放水」計算!$AL$37:$AX$37,◆入力◆④「1個放水」計算!$AL$42:$AX$42),IF($U17="逆止弁",LOOKUP($I17,◆入力◆④「1個放水」計算!$AL$37:$AX$37,◆入力◆④「1個放水」計算!$AL$43:$AX$43),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H17" s="90">
        <f>IF($U17="仕切弁",LOOKUP($I17,◆入力◆④「1個放水」計算!$AL$48:$AX$48,◆入力◆④「1個放水」計算!$AL$53:$AX$53),IF($U17="逆止弁",LOOKUP($I17,◆入力◆④「1個放水」計算!$AL$48:$AX$48,◆入力◆④「1個放水」計算!$AL$54:$AX$54),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I17" s="90">
        <f>IF($U17="仕切弁",LOOKUP($I17,◆入力◆④「1個放水」計算!$AL$59:$AX$59,◆入力◆④「1個放水」計算!$AL$65:$AX$65),IF($U17="逆止弁",LOOKUP($I17,◆入力◆④「1個放水」計算!$AL$59:$AX$59,◆入力◆④「1個放水」計算!$AL$66:$AX$66),IF($U17="水道メーター",LOOKUP($I17,◆入力◆④「1個放水」計算!$AL$70:$AQ$70,◆入力◆④「1個放水」計算!$AL$71:$AQ$71),IF($U17="止水栓",LOOKUP($I17,◆入力◆④「1個放水」計算!$AL$70:$AQ$70,◆入力◆④「1個放水」計算!$AL$72:$AQ$72),IF($U17="分水栓",LOOKUP($I17,◆入力◆④「1個放水」計算!$AL$70:$AQ$70,◆入力◆④「1個放水」計算!$AL$73:$AQ$73),IF($U17="巻き出しフレキ",LOOKUP($I17,◆入力◆④「1個放水」計算!$AL$70:$AQ$70,◆入力◆④「1個放水」計算!$AL$74:$AQ$74),IF($U17="",0,0)))))))</f>
        <v>0</v>
      </c>
      <c r="AJ17" s="144"/>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row>
    <row r="18" spans="6:70" x14ac:dyDescent="0.15">
      <c r="F18" s="235"/>
      <c r="G18" s="40"/>
      <c r="H18" s="145"/>
      <c r="I18" s="146" t="b">
        <f>IF(I17="",0,IF(I16="SGP-VB",LOOKUP(I17,◆入力◆④「1個放水」計算!$AL$4:$AX$4,◆入力◆④「1個放水」計算!$AL$5:$AX$5),IF(I16="SGP-PB",LOOKUP(I17,◆入力◆④「1個放水」計算!$AL$15:$AX$15,◆入力◆④「1個放水」計算!$AL$16:$AX$16),IF(I16="HIVP",LOOKUP(I17,◆入力◆④「1個放水」計算!$AL$26:$AX$26,◆入力◆④「1個放水」計算!$AL$27:$AX$27),IF(OR(I16="SGP",I16="フレキ"),LOOKUP(I17,◆入力◆④「1個放水」計算!$AL$37:$AX$37,◆入力◆④「1個放水」計算!$AL$38:$AX$38),IF(I16="SUS",LOOKUP(I17,◆入力◆④「1個放水」計算!$AL$48:$AX$48,◆入力◆④「1個放水」計算!$AL$49:$AX$49),IF(OR(I16="PE",I16="PP"),LOOKUP(I17,◆入力◆④「1個放水」計算!$AL$59:$AX$59,◆入力◆④「1個放水」計算!$AL$60:$AX$60))))))))</f>
        <v>0</v>
      </c>
      <c r="J18" s="121"/>
      <c r="K18" s="166"/>
      <c r="L18" s="74"/>
      <c r="M18" s="142"/>
      <c r="N18" s="76"/>
      <c r="O18" s="87">
        <f>IF(I17=0,0,"Ｔ分")</f>
        <v>0</v>
      </c>
      <c r="P18" s="152">
        <f>IF($F$55&gt;=ROW()-11,◆入力◆④「1個放水」計算!P18,0)</f>
        <v>0</v>
      </c>
      <c r="Q18" s="88">
        <f>IF(I17=0,0,IF(I16="SGP-VB",LOOKUP(I17,◆入力◆④「1個放水」計算!$AL$4:$AX$4,◆入力◆④「1個放水」計算!$AL$8:$AX$8),IF(I16="SGP-PB",LOOKUP(I17,◆入力◆④「1個放水」計算!$AL$15:$AX$15,◆入力◆④「1個放水」計算!$AL$19:$AX$19),IF(I16="HIVP",LOOKUP(I17,◆入力◆④「1個放水」計算!$AL$26:$AX$26,◆入力◆④「1個放水」計算!$AL$30:$AX$30),IF(OR(I16="SGP",I16="フレキ"),LOOKUP(I17,◆入力◆④「1個放水」計算!$AL$37:$AX$37,◆入力◆④「1個放水」計算!$AL$41:$AX$41),IF(I16="SUS",LOOKUP(I17,◆入力◆④「1個放水」計算!$AL$48:$AX$48,◆入力◆④「1個放水」計算!$AL$52:$AX$52),IF(OR(I16="PE",I16="PP"),LOOKUP(I17,◆入力◆④「1個放水」計算!$AL$59:$AX$59,◆入力◆④「1個放水」計算!$AL$64:$AX$64))))))))</f>
        <v>0</v>
      </c>
      <c r="R18" s="100">
        <f t="shared" si="0"/>
        <v>0</v>
      </c>
      <c r="S18" s="101"/>
      <c r="T18" s="92"/>
      <c r="U18" s="147">
        <f>IF($F$55&gt;=ROW()-11,◆入力◆④「1個放水」計算!U18,0)</f>
        <v>0</v>
      </c>
      <c r="V18" s="138">
        <f>IF($F$55&gt;=ROW()-11,◆入力◆④「1個放水」計算!V18,0)</f>
        <v>0</v>
      </c>
      <c r="W18" s="100">
        <f>IF($U18="Yスト",AC18,IF($I16="sgp-vb",AD18,IF($I16="sgp-pb",AE18,IF($I16="hivp",AF18,IF(OR($I16="sgp",$I16="フレキ"),AG18,IF($I16="sus",AH18,IF(OR($I16="PE",$I16="PP"),AI18,0)))))))</f>
        <v>0</v>
      </c>
      <c r="X18" s="82">
        <f t="shared" si="1"/>
        <v>0</v>
      </c>
      <c r="Y18" s="83"/>
      <c r="Z18" s="92">
        <f>ROUNDUP(L17*Y17,2)</f>
        <v>0</v>
      </c>
      <c r="AA18" s="40"/>
      <c r="AB18" s="93"/>
      <c r="AC18" s="90">
        <f>IF(U18="Yスト",IF(I16="SGP-VB",LOOKUP(I17,◆入力◆④「1個放水」計算!$AL$4:$AX$4,◆入力◆④「1個放水」計算!$AL$11:$AX$11),IF(I16="SGP-PB",LOOKUP(I17,◆入力◆④「1個放水」計算!$AL$15:$AX$15,◆入力◆④「1個放水」計算!$AL$22:$AX$22),IF(I16="HIVP",LOOKUP(I17,◆入力◆④「1個放水」計算!$AL$26:$AX$26,◆入力◆④「1個放水」計算!$AL$33:$AX$33),IF(OR(I16="SGP",I16="フレキ"),LOOKUP(I17,◆入力◆④「1個放水」計算!$AL$37:$AX$37,◆入力◆④「1個放水」計算!$AL$44:$AX$44),IF(I16="SUS",LOOKUP(I17,◆入力◆④「1個放水」計算!$AL$48:$AX$48,◆入力◆④「1個放水」計算!$AL$55:$AX$55),IF(OR(I16="PE",I16="PP"),LOOKUP(I17,◆入力◆④「1個放水」計算!$AL$59:$AX$59,◆入力◆④「1個放水」計算!$AL$67:$AX$67))))))),0)</f>
        <v>0</v>
      </c>
      <c r="AD18" s="90">
        <f>IF($U18="仕切弁",LOOKUP($I17,◆入力◆④「1個放水」計算!$AL$4:$AX$4,◆入力◆④「1個放水」計算!$AL$9:$AX$9),IF($U18="逆止弁",LOOKUP($I17,◆入力◆④「1個放水」計算!$AL$4:$AX$4,◆入力◆④「1個放水」計算!$AL$10:$AX$10),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E18" s="90">
        <f>IF($U18="仕切弁",LOOKUP($I17,◆入力◆④「1個放水」計算!$AL$15:$AX$15,◆入力◆④「1個放水」計算!$AL$20:$AX$20),IF($U18="逆止弁",LOOKUP($I17,◆入力◆④「1個放水」計算!$AL$15:$AX$15,◆入力◆④「1個放水」計算!$AL$21:$AX$21),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F18" s="90">
        <f>IF($U18="仕切弁",LOOKUP($I17,◆入力◆④「1個放水」計算!$AL$26:$AX$26,◆入力◆④「1個放水」計算!$AL$31:$AX$31),IF($U18="逆止弁",LOOKUP($I17,◆入力◆④「1個放水」計算!$AL$26:$AX$26,◆入力◆④「1個放水」計算!$AL$32:$AX$32),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G18" s="90">
        <f>IF($U18="仕切弁",LOOKUP($I17,◆入力◆④「1個放水」計算!$AL$37:$AX$37,◆入力◆④「1個放水」計算!$AL$42:$AX$42),IF($U18="逆止弁",LOOKUP($I17,◆入力◆④「1個放水」計算!$AL$37:$AX$37,◆入力◆④「1個放水」計算!$AL$43:$AX$43),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H18" s="90">
        <f>IF($U18="仕切弁",LOOKUP($I17,◆入力◆④「1個放水」計算!$AL$48:$AX$48,◆入力◆④「1個放水」計算!$AL$53:$AX$53),IF($U18="逆止弁",LOOKUP($I17,◆入力◆④「1個放水」計算!$AL$48:$AX$48,◆入力◆④「1個放水」計算!$AL$54:$AX$54),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I18" s="90">
        <f>IF($U18="仕切弁",LOOKUP($I17,◆入力◆④「1個放水」計算!$AL$59:$AX$59,◆入力◆④「1個放水」計算!$AL$65:$AX$65),IF($U18="逆止弁",LOOKUP($I17,◆入力◆④「1個放水」計算!$AL$59:$AX$59,◆入力◆④「1個放水」計算!$AL$66:$AX$66),IF($U18="水道メーター",LOOKUP($I17,◆入力◆④「1個放水」計算!$AL$70:$AQ$70,◆入力◆④「1個放水」計算!$AL$71:$AQ$71),IF($U18="止水栓",LOOKUP($I17,◆入力◆④「1個放水」計算!$AL$70:$AQ$70,◆入力◆④「1個放水」計算!$AL$72:$AQ$72),IF($U18="分水栓",LOOKUP($I17,◆入力◆④「1個放水」計算!$AL$70:$AQ$70,◆入力◆④「1個放水」計算!$AL$73:$AQ$73),IF($U18="巻き出しフレキ",LOOKUP($I17,◆入力◆④「1個放水」計算!$AL$70:$AQ$70,◆入力◆④「1個放水」計算!$AL$74:$AQ$74),IF($U18="",0,0)))))))</f>
        <v>0</v>
      </c>
      <c r="AJ18" s="144"/>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row>
    <row r="19" spans="6:70" x14ac:dyDescent="0.15">
      <c r="F19" s="235" t="s">
        <v>24</v>
      </c>
      <c r="G19" s="40"/>
      <c r="H19" s="154"/>
      <c r="I19" s="133">
        <f>IF($F$55&gt;=ROW()-9,◆入力◆④「1個放水」計算!I19,0)</f>
        <v>0</v>
      </c>
      <c r="J19" s="121"/>
      <c r="K19" s="165"/>
      <c r="L19" s="95"/>
      <c r="M19" s="135"/>
      <c r="N19" s="85"/>
      <c r="O19" s="77">
        <f>IF(I20=0,0,"E９０°")</f>
        <v>0</v>
      </c>
      <c r="P19" s="136">
        <f>IF($F$55&gt;=ROW()-9,◆入力◆④「1個放水」計算!P19,0)</f>
        <v>0</v>
      </c>
      <c r="Q19" s="78">
        <f>IF(I20=0,0,IF(I19="SGP-VB",LOOKUP(I20,◆入力◆④「1個放水」計算!$AL$4:$AX$4,◆入力◆④「1個放水」計算!$AL$6:$AX$6),IF(I19="SGP-PB",LOOKUP(I20,◆入力◆④「1個放水」計算!$AL$15:$AX$15,◆入力◆④「1個放水」計算!$AL$17:$AX$17),IF(I19="HIVP",LOOKUP(I20,◆入力◆④「1個放水」計算!$AL$26:$AX$26,◆入力◆④「1個放水」計算!$AL$28:$AX$28),IF(OR(I19="SGP",I19="フレキ"),LOOKUP(I20,◆入力◆④「1個放水」計算!$AL$37:$AX$37,◆入力◆④「1個放水」計算!$AL$39:$AX$39),IF(I19="SUS",LOOKUP(I20,◆入力◆④「1個放水」計算!$AL$48:$AX$48,◆入力◆④「1個放水」計算!$AL$50:$AX$50),IF(OR(I19="PE",I19="PP"),LOOKUP(I20,◆入力◆④「1個放水」計算!$AL$59:$AX$59,◆入力◆④「1個放水」計算!$AL$61:$AX$61))))))))</f>
        <v>0</v>
      </c>
      <c r="R19" s="79">
        <f t="shared" si="0"/>
        <v>0</v>
      </c>
      <c r="S19" s="80"/>
      <c r="T19" s="81">
        <v>0</v>
      </c>
      <c r="U19" s="137">
        <f>IF($F$55&gt;=ROW()-9,◆入力◆④「1個放水」計算!U19,0)</f>
        <v>0</v>
      </c>
      <c r="V19" s="136">
        <f>IF($F$55&gt;=ROW()-9,◆入力◆④「1個放水」計算!V19,0)</f>
        <v>0</v>
      </c>
      <c r="W19" s="82">
        <f>IF($U19="Yスト",AC19,IF($I19="sgp-vb",AD19,IF($I19="sgp-pb",AE19,IF($I19="hivp",AF19,IF(OR($I19="sgp",$I19="フレキ"),AG19,IF($I19="sus",AH19,IF(OR($I19="PE",$I19="PP"),AI19,0)))))))</f>
        <v>0</v>
      </c>
      <c r="X19" s="79">
        <f t="shared" si="1"/>
        <v>0</v>
      </c>
      <c r="Y19" s="80"/>
      <c r="Z19" s="84">
        <f>IF(AND($U19="電動弁",$V19=1),LOOKUP($K20,◆入力◆④「1個放水」計算!$AL$77:$BQ$77,◆入力◆④「1個放水」計算!$AL$78:$BQ$78),IF(AND($U20="電動弁",$V20=1),LOOKUP($K20,◆入力◆④「1個放水」計算!$AL$77:$BQ$77,◆入力◆④「1個放水」計算!$AL$78:$BQ$78),IF(AND($U21="電動弁",$V21=1),LOOKUP($K20,◆入力◆④「1個放水」計算!$AL$77:$BQ$77,◆入力◆④「1個放水」計算!$AL$78:$BQ$78),0)))</f>
        <v>0</v>
      </c>
      <c r="AA19" s="40"/>
      <c r="AB19" s="76"/>
      <c r="AC19" s="86">
        <f>IF(U19="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19" s="86">
        <f>IF($U19="仕切弁",LOOKUP($I20,◆入力◆④「1個放水」計算!$AL$4:$AX$4,◆入力◆④「1個放水」計算!$AL$9:$AX$9),IF($U19="逆止弁",LOOKUP($I20,◆入力◆④「1個放水」計算!$AL$4:$AX$4,◆入力◆④「1個放水」計算!$AL$10:$AX$10),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E19" s="86">
        <f>IF($U19="仕切弁",LOOKUP($I20,◆入力◆④「1個放水」計算!$AL$15:$AX$15,◆入力◆④「1個放水」計算!$AL$20:$AX$20),IF($U19="逆止弁",LOOKUP($I20,◆入力◆④「1個放水」計算!$AL$15:$AX$15,◆入力◆④「1個放水」計算!$AL$21:$AX$21),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F19" s="86">
        <f>IF($U19="仕切弁",LOOKUP($I20,◆入力◆④「1個放水」計算!$AL$26:$AX$26,◆入力◆④「1個放水」計算!$AL$31:$AX$31),IF($U19="逆止弁",LOOKUP($I20,◆入力◆④「1個放水」計算!$AL$26:$AX$26,◆入力◆④「1個放水」計算!$AL$32:$AX$32),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G19" s="86">
        <f>IF($U19="仕切弁",LOOKUP($I20,◆入力◆④「1個放水」計算!$AL$37:$AX$37,◆入力◆④「1個放水」計算!$AL$42:$AX$42),IF($U19="逆止弁",LOOKUP($I20,◆入力◆④「1個放水」計算!$AL$37:$AX$37,◆入力◆④「1個放水」計算!$AL$43:$AX$43),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H19" s="86">
        <f>IF($U19="仕切弁",LOOKUP($I20,◆入力◆④「1個放水」計算!$AL$48:$AX$48,◆入力◆④「1個放水」計算!$AL$53:$AX$53),IF($U19="逆止弁",LOOKUP($I20,◆入力◆④「1個放水」計算!$AL$48:$AX$48,◆入力◆④「1個放水」計算!$AL$54:$AX$54),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I19" s="86">
        <f>IF($U19="仕切弁",LOOKUP($I20,◆入力◆④「1個放水」計算!$AL$59:$AX$59,◆入力◆④「1個放水」計算!$AL$65:$AX$65),IF($U19="逆止弁",LOOKUP($I20,◆入力◆④「1個放水」計算!$AL$59:$AX$59,◆入力◆④「1個放水」計算!$AL$66:$AX$66),IF($U19="水道メーター",LOOKUP($I20,◆入力◆④「1個放水」計算!$AL$70:$AQ$70,◆入力◆④「1個放水」計算!$AL$71:$AQ$71),IF($U19="止水栓",LOOKUP($I20,◆入力◆④「1個放水」計算!$AL$70:$AQ$70,◆入力◆④「1個放水」計算!$AL$72:$AQ$72),IF($U19="分水栓",LOOKUP($I20,◆入力◆④「1個放水」計算!$AL$70:$AQ$70,◆入力◆④「1個放水」計算!$AL$73:$AQ$73),IF($U19="巻き出しフレキ",LOOKUP($I20,◆入力◆④「1個放水」計算!$AL$70:$AQ$70,◆入力◆④「1個放水」計算!$AL$74:$AQ$74),IF($U19="",0,0)))))))</f>
        <v>0</v>
      </c>
      <c r="AJ19" s="115"/>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row>
    <row r="20" spans="6:70" x14ac:dyDescent="0.15">
      <c r="F20" s="235"/>
      <c r="G20" s="40"/>
      <c r="H20" s="149">
        <f>IF($F$55&gt;=ROW()-10,◆入力◆④「1個放水」計算!H20,0)</f>
        <v>0</v>
      </c>
      <c r="I20" s="140">
        <f>IF($F$55&gt;=ROW()-10,◆入力◆④「1個放水」計算!I20,0)</f>
        <v>0</v>
      </c>
      <c r="J20" s="121"/>
      <c r="K20" s="165">
        <f>IF($F$55&gt;=ROW()-10,◆入力◆④「1個放水」計算!K20,0)</f>
        <v>0</v>
      </c>
      <c r="L20" s="74">
        <f>IF(I20=0,0,IF(I20&gt;=65,K20^1.85*0.012/I21^4.87,ROUNDUP((0.0126+(0.01739-(0.1087*I21/100))/SQRT(4*K20/(60000*PI()*(I21/100)^2)))*(1/(I21/100))*((4*K20/(60000*PI()*(I21/100)^2))^2/(2*9.8)),4)))</f>
        <v>0</v>
      </c>
      <c r="M20" s="142">
        <f>IF($F$55&gt;=ROW()-10,◆入力◆④「1個放水」計算!M20,0)</f>
        <v>0</v>
      </c>
      <c r="N20" s="84">
        <f>ROUNDUP(L20*M20,2)</f>
        <v>0</v>
      </c>
      <c r="O20" s="87">
        <f>IF(I20=0,0,"Ｔ直")</f>
        <v>0</v>
      </c>
      <c r="P20" s="138">
        <f>IF($F$55&gt;=ROW()-10,◆入力◆④「1個放水」計算!P20,0)</f>
        <v>0</v>
      </c>
      <c r="Q20" s="88">
        <f>IF(I20=0,0,IF(I19="SGP-VB",LOOKUP(I20,◆入力◆④「1個放水」計算!$AL$4:$AX$4,◆入力◆④「1個放水」計算!$AL$7:$AX$7),IF(I19="SGP-PB",LOOKUP(I20,◆入力◆④「1個放水」計算!$AL$15:$AX$15,◆入力◆④「1個放水」計算!$AL$18:$AX$18),IF(I19="HIVP",LOOKUP(I20,◆入力◆④「1個放水」計算!$AL$26:$AX$26,◆入力◆④「1個放水」計算!$AL$29:$AX$29),IF(OR(I19="SGP",I19="フレキ"),LOOKUP(I20,◆入力◆④「1個放水」計算!$AL$37:$AX$37,◆入力◆④「1個放水」計算!$AL$40:$AX$40),IF(I19="SUS",LOOKUP(I20,◆入力◆④「1個放水」計算!$AL$48:$AX$48,◆入力◆④「1個放水」計算!$AL$51:$AX$51),IF(OR(I19="PE",I19="PP"),LOOKUP(I20,◆入力◆④「1個放水」計算!$AL$59:$AX$59,◆入力◆④「1個放水」計算!$AL$63:$AX$63))))))))</f>
        <v>0</v>
      </c>
      <c r="R20" s="82">
        <f t="shared" si="0"/>
        <v>0</v>
      </c>
      <c r="S20" s="83">
        <f>R19+R20+R21</f>
        <v>0</v>
      </c>
      <c r="T20" s="84">
        <f>ROUNDUP(L20*S20,2)</f>
        <v>0</v>
      </c>
      <c r="U20" s="143">
        <f>IF($F$55&gt;=ROW()-10,◆入力◆④「1個放水」計算!U20,0)</f>
        <v>0</v>
      </c>
      <c r="V20" s="138">
        <f>IF($F$55&gt;=ROW()-10,◆入力◆④「1個放水」計算!V20,0)</f>
        <v>0</v>
      </c>
      <c r="W20" s="82">
        <f>IF($U20="Yスト",AC20,IF($I19="sgp-vb",AD20,IF($I19="sgp-pb",AE20,IF($I19="hivp",AF20,IF(OR($I19="sgp",$I19="フレキ"),AG20,IF($I19="sus",AH20,IF(OR($I19="PE",$I19="PP"),AI20,0)))))))</f>
        <v>0</v>
      </c>
      <c r="X20" s="82">
        <f t="shared" si="1"/>
        <v>0</v>
      </c>
      <c r="Y20" s="83">
        <f>SUM(X19:X21)</f>
        <v>0</v>
      </c>
      <c r="Z20" s="84"/>
      <c r="AA20" s="40"/>
      <c r="AB20" s="84">
        <f>N20+T20+Z19+Z20+Z21</f>
        <v>0</v>
      </c>
      <c r="AC20" s="89">
        <f>IF(U20="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20" s="90">
        <f>IF($U20="仕切弁",LOOKUP($I20,◆入力◆④「1個放水」計算!$AL$4:$AX$4,◆入力◆④「1個放水」計算!$AL$9:$AX$9),IF($U20="逆止弁",LOOKUP($I20,◆入力◆④「1個放水」計算!$AL$4:$AX$4,◆入力◆④「1個放水」計算!$AL$10:$AX$10),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E20" s="90">
        <f>IF($U20="仕切弁",LOOKUP($I20,◆入力◆④「1個放水」計算!$AL$15:$AX$15,◆入力◆④「1個放水」計算!$AL$20:$AX$20),IF($U20="逆止弁",LOOKUP($I20,◆入力◆④「1個放水」計算!$AL$15:$AX$15,◆入力◆④「1個放水」計算!$AL$21:$AX$21),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F20" s="90">
        <f>IF($U20="仕切弁",LOOKUP($I20,◆入力◆④「1個放水」計算!$AL$26:$AX$26,◆入力◆④「1個放水」計算!$AL$31:$AX$31),IF($U20="逆止弁",LOOKUP($I20,◆入力◆④「1個放水」計算!$AL$26:$AX$26,◆入力◆④「1個放水」計算!$AL$32:$AX$32),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G20" s="90">
        <f>IF($U20="仕切弁",LOOKUP($I20,◆入力◆④「1個放水」計算!$AL$37:$AX$37,◆入力◆④「1個放水」計算!$AL$42:$AX$42),IF($U20="逆止弁",LOOKUP($I20,◆入力◆④「1個放水」計算!$AL$37:$AX$37,◆入力◆④「1個放水」計算!$AL$43:$AX$43),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H20" s="90">
        <f>IF($U20="仕切弁",LOOKUP($I20,◆入力◆④「1個放水」計算!$AL$48:$AX$48,◆入力◆④「1個放水」計算!$AL$53:$AX$53),IF($U20="逆止弁",LOOKUP($I20,◆入力◆④「1個放水」計算!$AL$48:$AX$48,◆入力◆④「1個放水」計算!$AL$54:$AX$54),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I20" s="90">
        <f>IF($U20="仕切弁",LOOKUP($I20,◆入力◆④「1個放水」計算!$AL$59:$AX$59,◆入力◆④「1個放水」計算!$AL$65:$AX$65),IF($U20="逆止弁",LOOKUP($I20,◆入力◆④「1個放水」計算!$AL$59:$AX$59,◆入力◆④「1個放水」計算!$AL$66:$AX$66),IF($U20="水道メーター",LOOKUP($I20,◆入力◆④「1個放水」計算!$AL$70:$AQ$70,◆入力◆④「1個放水」計算!$AL$71:$AQ$71),IF($U20="止水栓",LOOKUP($I20,◆入力◆④「1個放水」計算!$AL$70:$AQ$70,◆入力◆④「1個放水」計算!$AL$72:$AQ$72),IF($U20="分水栓",LOOKUP($I20,◆入力◆④「1個放水」計算!$AL$70:$AQ$70,◆入力◆④「1個放水」計算!$AL$73:$AQ$73),IF($U20="巻き出しフレキ",LOOKUP($I20,◆入力◆④「1個放水」計算!$AL$70:$AQ$70,◆入力◆④「1個放水」計算!$AL$74:$AQ$74),IF($U20="",0,0)))))))</f>
        <v>0</v>
      </c>
      <c r="AJ20" s="115"/>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row>
    <row r="21" spans="6:70" x14ac:dyDescent="0.15">
      <c r="F21" s="235"/>
      <c r="G21" s="40"/>
      <c r="H21" s="149"/>
      <c r="I21" s="146" t="b">
        <f>IF(I20="",0,IF(I19="SGP-VB",LOOKUP(I20,◆入力◆④「1個放水」計算!$AL$4:$AX$4,◆入力◆④「1個放水」計算!$AL$5:$AX$5),IF(I19="SGP-PB",LOOKUP(I20,◆入力◆④「1個放水」計算!$AL$15:$AX$15,◆入力◆④「1個放水」計算!$AL$16:$AX$16),IF(I19="HIVP",LOOKUP(I20,◆入力◆④「1個放水」計算!$AL$26:$AX$26,◆入力◆④「1個放水」計算!$AL$27:$AX$27),IF(OR(I19="SGP",I19="フレキ"),LOOKUP(I20,◆入力◆④「1個放水」計算!$AL$37:$AX$37,◆入力◆④「1個放水」計算!$AL$38:$AX$38),IF(I19="SUS",LOOKUP(I20,◆入力◆④「1個放水」計算!$AL$48:$AX$48,◆入力◆④「1個放水」計算!$AL$49:$AX$49),IF(OR(I19="PE",I19="PP"),LOOKUP(I20,◆入力◆④「1個放水」計算!$AL$59:$AX$59,◆入力◆④「1個放水」計算!$AL$60:$AX$60))))))))</f>
        <v>0</v>
      </c>
      <c r="J21" s="121"/>
      <c r="K21" s="165"/>
      <c r="L21" s="98"/>
      <c r="M21" s="151"/>
      <c r="N21" s="93"/>
      <c r="O21" s="87">
        <f>IF(I20=0,0,"Ｔ分")</f>
        <v>0</v>
      </c>
      <c r="P21" s="152">
        <f>IF($F$55&gt;=ROW()-11,◆入力◆④「1個放水」計算!P21,0)</f>
        <v>0</v>
      </c>
      <c r="Q21" s="88">
        <f>IF(I20=0,0,IF(I19="SGP-VB",LOOKUP(I20,◆入力◆④「1個放水」計算!$AL$4:$AX$4,◆入力◆④「1個放水」計算!$AL$8:$AX$8),IF(I19="SGP-PB",LOOKUP(I20,◆入力◆④「1個放水」計算!$AL$15:$AX$15,◆入力◆④「1個放水」計算!$AL$19:$AX$19),IF(I19="HIVP",LOOKUP(I20,◆入力◆④「1個放水」計算!$AL$26:$AX$26,◆入力◆④「1個放水」計算!$AL$30:$AX$30),IF(OR(I19="SGP",I19="フレキ"),LOOKUP(I20,◆入力◆④「1個放水」計算!$AL$37:$AX$37,◆入力◆④「1個放水」計算!$AL$41:$AX$41),IF(I19="SUS",LOOKUP(I20,◆入力◆④「1個放水」計算!$AL$48:$AX$48,◆入力◆④「1個放水」計算!$AL$52:$AX$52),IF(OR(I19="PE",I19="PP"),LOOKUP(I20,◆入力◆④「1個放水」計算!$AL$59:$AX$59,◆入力◆④「1個放水」計算!$AL$64:$AX$64))))))))</f>
        <v>0</v>
      </c>
      <c r="R21" s="100">
        <f t="shared" si="0"/>
        <v>0</v>
      </c>
      <c r="S21" s="101"/>
      <c r="T21" s="92"/>
      <c r="U21" s="147">
        <f>IF($F$55&gt;=ROW()-11,◆入力◆④「1個放水」計算!U21,0)</f>
        <v>0</v>
      </c>
      <c r="V21" s="152">
        <f>IF($F$55&gt;=ROW()-11,◆入力◆④「1個放水」計算!V21,0)</f>
        <v>0</v>
      </c>
      <c r="W21" s="100">
        <f>IF($U21="Yスト",AC21,IF($I19="sgp-vb",AD21,IF($I19="sgp-pb",AE21,IF($I19="hivp",AF21,IF(OR($I19="sgp",$I19="フレキ"),AG21,IF($I19="sus",AH21,IF(OR($I19="PE",$I19="PP"),AI21,0)))))))</f>
        <v>0</v>
      </c>
      <c r="X21" s="100">
        <f t="shared" si="1"/>
        <v>0</v>
      </c>
      <c r="Y21" s="101"/>
      <c r="Z21" s="92">
        <f>ROUNDUP(L20*Y20,2)</f>
        <v>0</v>
      </c>
      <c r="AA21" s="40"/>
      <c r="AB21" s="76"/>
      <c r="AC21" s="90">
        <f>IF(U21="Yスト",IF(I19="SGP-VB",LOOKUP(I20,◆入力◆④「1個放水」計算!$AL$4:$AX$4,◆入力◆④「1個放水」計算!$AL$11:$AX$11),IF(I19="SGP-PB",LOOKUP(I20,◆入力◆④「1個放水」計算!$AL$15:$AX$15,◆入力◆④「1個放水」計算!$AL$22:$AX$22),IF(I19="HIVP",LOOKUP(I20,◆入力◆④「1個放水」計算!$AL$26:$AX$26,◆入力◆④「1個放水」計算!$AL$33:$AX$33),IF(OR(I19="SGP",I19="フレキ"),LOOKUP(I20,◆入力◆④「1個放水」計算!$AL$37:$AX$37,◆入力◆④「1個放水」計算!$AL$44:$AX$44),IF(I19="SUS",LOOKUP(I20,◆入力◆④「1個放水」計算!$AL$48:$AX$48,◆入力◆④「1個放水」計算!$AL$55:$AX$55),IF(OR(I19="PE",I19="PP"),LOOKUP(I20,◆入力◆④「1個放水」計算!$AL$59:$AX$59,◆入力◆④「1個放水」計算!$AL$67:$AX$67))))))),0)</f>
        <v>0</v>
      </c>
      <c r="AD21" s="90">
        <f>IF($U21="仕切弁",LOOKUP($I20,◆入力◆④「1個放水」計算!$AL$4:$AX$4,◆入力◆④「1個放水」計算!$AL$9:$AX$9),IF($U21="逆止弁",LOOKUP($I20,◆入力◆④「1個放水」計算!$AL$4:$AX$4,◆入力◆④「1個放水」計算!$AL$10:$AX$10),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E21" s="90">
        <f>IF($U21="仕切弁",LOOKUP($I20,◆入力◆④「1個放水」計算!$AL$15:$AX$15,◆入力◆④「1個放水」計算!$AL$20:$AX$20),IF($U21="逆止弁",LOOKUP($I20,◆入力◆④「1個放水」計算!$AL$15:$AX$15,◆入力◆④「1個放水」計算!$AL$21:$AX$21),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F21" s="90">
        <f>IF($U21="仕切弁",LOOKUP($I20,◆入力◆④「1個放水」計算!$AL$26:$AX$26,◆入力◆④「1個放水」計算!$AL$31:$AX$31),IF($U21="逆止弁",LOOKUP($I20,◆入力◆④「1個放水」計算!$AL$26:$AX$26,◆入力◆④「1個放水」計算!$AL$32:$AX$32),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G21" s="90">
        <f>IF($U21="仕切弁",LOOKUP($I20,◆入力◆④「1個放水」計算!$AL$37:$AX$37,◆入力◆④「1個放水」計算!$AL$42:$AX$42),IF($U21="逆止弁",LOOKUP($I20,◆入力◆④「1個放水」計算!$AL$37:$AX$37,◆入力◆④「1個放水」計算!$AL$43:$AX$43),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H21" s="90">
        <f>IF($U21="仕切弁",LOOKUP($I20,◆入力◆④「1個放水」計算!$AL$48:$AX$48,◆入力◆④「1個放水」計算!$AL$53:$AX$53),IF($U21="逆止弁",LOOKUP($I20,◆入力◆④「1個放水」計算!$AL$48:$AX$48,◆入力◆④「1個放水」計算!$AL$54:$AX$54),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I21" s="90">
        <f>IF($U21="仕切弁",LOOKUP($I20,◆入力◆④「1個放水」計算!$AL$59:$AX$59,◆入力◆④「1個放水」計算!$AL$65:$AX$65),IF($U21="逆止弁",LOOKUP($I20,◆入力◆④「1個放水」計算!$AL$59:$AX$59,◆入力◆④「1個放水」計算!$AL$66:$AX$66),IF($U21="水道メーター",LOOKUP($I20,◆入力◆④「1個放水」計算!$AL$70:$AQ$70,◆入力◆④「1個放水」計算!$AL$71:$AQ$71),IF($U21="止水栓",LOOKUP($I20,◆入力◆④「1個放水」計算!$AL$70:$AQ$70,◆入力◆④「1個放水」計算!$AL$72:$AQ$72),IF($U21="分水栓",LOOKUP($I20,◆入力◆④「1個放水」計算!$AL$70:$AQ$70,◆入力◆④「1個放水」計算!$AL$73:$AQ$73),IF($U21="巻き出しフレキ",LOOKUP($I20,◆入力◆④「1個放水」計算!$AL$70:$AQ$70,◆入力◆④「1個放水」計算!$AL$74:$AQ$74),IF($U21="",0,0)))))))</f>
        <v>0</v>
      </c>
      <c r="AJ21" s="115"/>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row>
    <row r="22" spans="6:70" x14ac:dyDescent="0.15">
      <c r="F22" s="235" t="s">
        <v>25</v>
      </c>
      <c r="G22" s="40"/>
      <c r="H22" s="132"/>
      <c r="I22" s="133">
        <f>IF($F$55&gt;=ROW()-9,◆入力◆④「1個放水」計算!I22,0)</f>
        <v>0</v>
      </c>
      <c r="J22" s="121"/>
      <c r="K22" s="164"/>
      <c r="L22" s="74"/>
      <c r="M22" s="142"/>
      <c r="N22" s="76"/>
      <c r="O22" s="77">
        <f>IF(I23=0,0,"E９０°")</f>
        <v>0</v>
      </c>
      <c r="P22" s="136">
        <f>IF($F$55&gt;=ROW()-9,◆入力◆④「1個放水」計算!P22,0)</f>
        <v>0</v>
      </c>
      <c r="Q22" s="78">
        <f>IF(I23=0,0,IF(I22="SGP-VB",LOOKUP(I23,◆入力◆④「1個放水」計算!$AL$4:$AX$4,◆入力◆④「1個放水」計算!$AL$6:$AX$6),IF(I22="SGP-PB",LOOKUP(I23,◆入力◆④「1個放水」計算!$AL$15:$AX$15,◆入力◆④「1個放水」計算!$AL$17:$AX$17),IF(I22="HIVP",LOOKUP(I23,◆入力◆④「1個放水」計算!$AL$26:$AX$26,◆入力◆④「1個放水」計算!$AL$28:$AX$28),IF(OR(I22="SGP",I22="フレキ"),LOOKUP(I23,◆入力◆④「1個放水」計算!$AL$37:$AX$37,◆入力◆④「1個放水」計算!$AL$39:$AX$39),IF(I22="SUS",LOOKUP(I23,◆入力◆④「1個放水」計算!$AL$48:$AX$48,◆入力◆④「1個放水」計算!$AL$50:$AX$50),IF(OR(I22="PE",I22="PP"),LOOKUP(I23,◆入力◆④「1個放水」計算!$AL$59:$AX$59,◆入力◆④「1個放水」計算!$AL$61:$AX$61))))))))</f>
        <v>0</v>
      </c>
      <c r="R22" s="79">
        <f t="shared" si="0"/>
        <v>0</v>
      </c>
      <c r="S22" s="80"/>
      <c r="T22" s="81">
        <v>0</v>
      </c>
      <c r="U22" s="137">
        <f>IF($F$55&gt;=ROW()-9,◆入力◆④「1個放水」計算!U22,0)</f>
        <v>0</v>
      </c>
      <c r="V22" s="138">
        <f>IF($F$55&gt;=ROW()-9,◆入力◆④「1個放水」計算!V22,0)</f>
        <v>0</v>
      </c>
      <c r="W22" s="82">
        <f>IF($U22="Yスト",AC22,IF($I22="sgp-vb",AD22,IF($I22="sgp-pb",AE22,IF($I22="hivp",AF22,IF(OR($I22="sgp",$I22="フレキ"),AG22,IF($I22="sus",AH22,IF(OR($I22="PE",$I22="PP"),AI22,0)))))))</f>
        <v>0</v>
      </c>
      <c r="X22" s="82">
        <f t="shared" si="1"/>
        <v>0</v>
      </c>
      <c r="Y22" s="83"/>
      <c r="Z22" s="84">
        <f>IF(AND($U22="電動弁",$V22=1),LOOKUP($K23,◆入力◆④「1個放水」計算!$AL$77:$BQ$77,◆入力◆④「1個放水」計算!$AL$78:$BQ$78),IF(AND($U23="電動弁",$V23=1),LOOKUP($K23,◆入力◆④「1個放水」計算!$AL$77:$BQ$77,◆入力◆④「1個放水」計算!$AL$78:$BQ$78),IF(AND($U24="電動弁",$V24=1),LOOKUP($K23,◆入力◆④「1個放水」計算!$AL$77:$BQ$77,◆入力◆④「1個放水」計算!$AL$78:$BQ$78),0)))</f>
        <v>0</v>
      </c>
      <c r="AA22" s="40"/>
      <c r="AB22" s="85"/>
      <c r="AC22" s="86">
        <f>IF(U22="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2" s="86">
        <f>IF($U22="仕切弁",LOOKUP($I23,◆入力◆④「1個放水」計算!$AL$4:$AX$4,◆入力◆④「1個放水」計算!$AL$9:$AX$9),IF($U22="逆止弁",LOOKUP($I23,◆入力◆④「1個放水」計算!$AL$4:$AX$4,◆入力◆④「1個放水」計算!$AL$10:$AX$10),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E22" s="86">
        <f>IF($U22="仕切弁",LOOKUP($I23,◆入力◆④「1個放水」計算!$AL$15:$AX$15,◆入力◆④「1個放水」計算!$AL$20:$AX$20),IF($U22="逆止弁",LOOKUP($I23,◆入力◆④「1個放水」計算!$AL$15:$AX$15,◆入力◆④「1個放水」計算!$AL$21:$AX$21),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F22" s="86">
        <f>IF($U22="仕切弁",LOOKUP($I23,◆入力◆④「1個放水」計算!$AL$26:$AX$26,◆入力◆④「1個放水」計算!$AL$31:$AX$31),IF($U22="逆止弁",LOOKUP($I23,◆入力◆④「1個放水」計算!$AL$26:$AX$26,◆入力◆④「1個放水」計算!$AL$32:$AX$32),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G22" s="86">
        <f>IF($U22="仕切弁",LOOKUP($I23,◆入力◆④「1個放水」計算!$AL$37:$AX$37,◆入力◆④「1個放水」計算!$AL$42:$AX$42),IF($U22="逆止弁",LOOKUP($I23,◆入力◆④「1個放水」計算!$AL$37:$AX$37,◆入力◆④「1個放水」計算!$AL$43:$AX$43),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H22" s="86">
        <f>IF($U22="仕切弁",LOOKUP($I23,◆入力◆④「1個放水」計算!$AL$48:$AX$48,◆入力◆④「1個放水」計算!$AL$53:$AX$53),IF($U22="逆止弁",LOOKUP($I23,◆入力◆④「1個放水」計算!$AL$48:$AX$48,◆入力◆④「1個放水」計算!$AL$54:$AX$54),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I22" s="86">
        <f>IF($U22="仕切弁",LOOKUP($I23,◆入力◆④「1個放水」計算!$AL$59:$AX$59,◆入力◆④「1個放水」計算!$AL$65:$AX$65),IF($U22="逆止弁",LOOKUP($I23,◆入力◆④「1個放水」計算!$AL$59:$AX$59,◆入力◆④「1個放水」計算!$AL$66:$AX$66),IF($U22="水道メーター",LOOKUP($I23,◆入力◆④「1個放水」計算!$AL$70:$AQ$70,◆入力◆④「1個放水」計算!$AL$71:$AQ$71),IF($U22="止水栓",LOOKUP($I23,◆入力◆④「1個放水」計算!$AL$70:$AQ$70,◆入力◆④「1個放水」計算!$AL$72:$AQ$72),IF($U22="分水栓",LOOKUP($I23,◆入力◆④「1個放水」計算!$AL$70:$AQ$70,◆入力◆④「1個放水」計算!$AL$73:$AQ$73),IF($U22="巻き出しフレキ",LOOKUP($I23,◆入力◆④「1個放水」計算!$AL$70:$AQ$70,◆入力◆④「1個放水」計算!$AL$74:$AQ$74),IF($U22="",0,0)))))))</f>
        <v>0</v>
      </c>
      <c r="AJ22" s="115"/>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row>
    <row r="23" spans="6:70" x14ac:dyDescent="0.15">
      <c r="F23" s="235"/>
      <c r="G23" s="40"/>
      <c r="H23" s="149">
        <f>IF($F$55&gt;=ROW()-10,◆入力◆④「1個放水」計算!H23,0)</f>
        <v>0</v>
      </c>
      <c r="I23" s="140">
        <f>IF($F$55&gt;=ROW()-10,◆入力◆④「1個放水」計算!I23,0)</f>
        <v>0</v>
      </c>
      <c r="J23" s="121"/>
      <c r="K23" s="165">
        <f>IF($F$55&gt;=ROW()-10,◆入力◆④「1個放水」計算!K23,0)</f>
        <v>0</v>
      </c>
      <c r="L23" s="74">
        <f>IF(I23=0,0,IF(I23&gt;=65,K23^1.85*0.012/I24^4.87,ROUNDUP((0.0126+(0.01739-(0.1087*I24/100))/SQRT(4*K23/(60000*PI()*(I24/100)^2)))*(1/(I24/100))*((4*K23/(60000*PI()*(I24/100)^2))^2/(2*9.8)),4)))</f>
        <v>0</v>
      </c>
      <c r="M23" s="142">
        <f>IF($F$55&gt;=ROW()-10,◆入力◆④「1個放水」計算!M23,0)</f>
        <v>0</v>
      </c>
      <c r="N23" s="84">
        <f>ROUNDUP(L23*M23,2)</f>
        <v>0</v>
      </c>
      <c r="O23" s="87">
        <f>IF(I23=0,0,"Ｔ直")</f>
        <v>0</v>
      </c>
      <c r="P23" s="138">
        <f>IF($F$55&gt;=ROW()-10,◆入力◆④「1個放水」計算!P23,0)</f>
        <v>0</v>
      </c>
      <c r="Q23" s="88">
        <f>IF(I23=0,0,IF(I22="SGP-VB",LOOKUP(I23,◆入力◆④「1個放水」計算!$AL$4:$AX$4,◆入力◆④「1個放水」計算!$AL$7:$AX$7),IF(I22="SGP-PB",LOOKUP(I23,◆入力◆④「1個放水」計算!$AL$15:$AX$15,◆入力◆④「1個放水」計算!$AL$18:$AX$18),IF(I22="HIVP",LOOKUP(I23,◆入力◆④「1個放水」計算!$AL$26:$AX$26,◆入力◆④「1個放水」計算!$AL$29:$AX$29),IF(OR(I22="SGP",I22="フレキ"),LOOKUP(I23,◆入力◆④「1個放水」計算!$AL$37:$AX$37,◆入力◆④「1個放水」計算!$AL$40:$AX$40),IF(I22="SUS",LOOKUP(I23,◆入力◆④「1個放水」計算!$AL$48:$AX$48,◆入力◆④「1個放水」計算!$AL$51:$AX$51),IF(OR(I22="PE",I22="PP"),LOOKUP(I23,◆入力◆④「1個放水」計算!$AL$59:$AX$59,◆入力◆④「1個放水」計算!$AL$63:$AX$63))))))))</f>
        <v>0</v>
      </c>
      <c r="R23" s="82">
        <f t="shared" si="0"/>
        <v>0</v>
      </c>
      <c r="S23" s="83">
        <f>R22+R23+R24</f>
        <v>0</v>
      </c>
      <c r="T23" s="84">
        <f>ROUNDUP(L23*S23,2)</f>
        <v>0</v>
      </c>
      <c r="U23" s="143">
        <f>IF($F$55&gt;=ROW()-10,◆入力◆④「1個放水」計算!U23,0)</f>
        <v>0</v>
      </c>
      <c r="V23" s="138">
        <f>IF($F$55&gt;=ROW()-10,◆入力◆④「1個放水」計算!V23,0)</f>
        <v>0</v>
      </c>
      <c r="W23" s="82">
        <f>IF($U23="Yスト",AC23,IF($I22="sgp-vb",AD23,IF($I22="sgp-pb",AE23,IF($I22="hivp",AF23,IF(OR($I22="sgp",$I22="フレキ"),AG23,IF($I22="sus",AH23,IF(OR($I22="PE",$I22="PP"),AI23,0)))))))</f>
        <v>0</v>
      </c>
      <c r="X23" s="82">
        <f t="shared" si="1"/>
        <v>0</v>
      </c>
      <c r="Y23" s="83">
        <f>SUM(X22:X24)</f>
        <v>0</v>
      </c>
      <c r="Z23" s="84"/>
      <c r="AA23" s="40"/>
      <c r="AB23" s="84">
        <f>N23+T23+Z22+Z23+Z24</f>
        <v>0</v>
      </c>
      <c r="AC23" s="89">
        <f>IF(U23="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3" s="90">
        <f>IF($U23="仕切弁",LOOKUP($I23,◆入力◆④「1個放水」計算!$AL$4:$AX$4,◆入力◆④「1個放水」計算!$AL$9:$AX$9),IF($U23="逆止弁",LOOKUP($I23,◆入力◆④「1個放水」計算!$AL$4:$AX$4,◆入力◆④「1個放水」計算!$AL$10:$AX$10),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E23" s="90">
        <f>IF($U23="仕切弁",LOOKUP($I23,◆入力◆④「1個放水」計算!$AL$15:$AX$15,◆入力◆④「1個放水」計算!$AL$20:$AX$20),IF($U23="逆止弁",LOOKUP($I23,◆入力◆④「1個放水」計算!$AL$15:$AX$15,◆入力◆④「1個放水」計算!$AL$21:$AX$21),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F23" s="90">
        <f>IF($U23="仕切弁",LOOKUP($I23,◆入力◆④「1個放水」計算!$AL$26:$AX$26,◆入力◆④「1個放水」計算!$AL$31:$AX$31),IF($U23="逆止弁",LOOKUP($I23,◆入力◆④「1個放水」計算!$AL$26:$AX$26,◆入力◆④「1個放水」計算!$AL$32:$AX$32),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G23" s="90">
        <f>IF($U23="仕切弁",LOOKUP($I23,◆入力◆④「1個放水」計算!$AL$37:$AX$37,◆入力◆④「1個放水」計算!$AL$42:$AX$42),IF($U23="逆止弁",LOOKUP($I23,◆入力◆④「1個放水」計算!$AL$37:$AX$37,◆入力◆④「1個放水」計算!$AL$43:$AX$43),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H23" s="90">
        <f>IF($U23="仕切弁",LOOKUP($I23,◆入力◆④「1個放水」計算!$AL$48:$AX$48,◆入力◆④「1個放水」計算!$AL$53:$AX$53),IF($U23="逆止弁",LOOKUP($I23,◆入力◆④「1個放水」計算!$AL$48:$AX$48,◆入力◆④「1個放水」計算!$AL$54:$AX$54),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I23" s="90">
        <f>IF($U23="仕切弁",LOOKUP($I23,◆入力◆④「1個放水」計算!$AL$59:$AX$59,◆入力◆④「1個放水」計算!$AL$65:$AX$65),IF($U23="逆止弁",LOOKUP($I23,◆入力◆④「1個放水」計算!$AL$59:$AX$59,◆入力◆④「1個放水」計算!$AL$66:$AX$66),IF($U23="水道メーター",LOOKUP($I23,◆入力◆④「1個放水」計算!$AL$70:$AQ$70,◆入力◆④「1個放水」計算!$AL$71:$AQ$71),IF($U23="止水栓",LOOKUP($I23,◆入力◆④「1個放水」計算!$AL$70:$AQ$70,◆入力◆④「1個放水」計算!$AL$72:$AQ$72),IF($U23="分水栓",LOOKUP($I23,◆入力◆④「1個放水」計算!$AL$70:$AQ$70,◆入力◆④「1個放水」計算!$AL$73:$AQ$73),IF($U23="巻き出しフレキ",LOOKUP($I23,◆入力◆④「1個放水」計算!$AL$70:$AQ$70,◆入力◆④「1個放水」計算!$AL$74:$AQ$74),IF($U23="",0,0)))))))</f>
        <v>0</v>
      </c>
      <c r="AJ23" s="144"/>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row>
    <row r="24" spans="6:70" x14ac:dyDescent="0.15">
      <c r="F24" s="235"/>
      <c r="G24" s="40"/>
      <c r="H24" s="145"/>
      <c r="I24" s="146" t="b">
        <f>IF(I23="",0,IF(I22="SGP-VB",LOOKUP(I23,◆入力◆④「1個放水」計算!$AL$4:$AX$4,◆入力◆④「1個放水」計算!$AL$5:$AX$5),IF(I22="SGP-PB",LOOKUP(I23,◆入力◆④「1個放水」計算!$AL$15:$AX$15,◆入力◆④「1個放水」計算!$AL$16:$AX$16),IF(I22="HIVP",LOOKUP(I23,◆入力◆④「1個放水」計算!$AL$26:$AX$26,◆入力◆④「1個放水」計算!$AL$27:$AX$27),IF(OR(I22="SGP",I22="フレキ"),LOOKUP(I23,◆入力◆④「1個放水」計算!$AL$37:$AX$37,◆入力◆④「1個放水」計算!$AL$38:$AX$38),IF(I22="SUS",LOOKUP(I23,◆入力◆④「1個放水」計算!$AL$48:$AX$48,◆入力◆④「1個放水」計算!$AL$49:$AX$49),IF(OR(I22="PE",I22="PP"),LOOKUP(I23,◆入力◆④「1個放水」計算!$AL$59:$AX$59,◆入力◆④「1個放水」計算!$AL$60:$AX$60))))))))</f>
        <v>0</v>
      </c>
      <c r="J24" s="121"/>
      <c r="K24" s="166"/>
      <c r="L24" s="74"/>
      <c r="M24" s="142"/>
      <c r="N24" s="76"/>
      <c r="O24" s="87">
        <f>IF(I23=0,0,"Ｔ分")</f>
        <v>0</v>
      </c>
      <c r="P24" s="152">
        <f>IF($F$55&gt;=ROW()-11,◆入力◆④「1個放水」計算!P24,0)</f>
        <v>0</v>
      </c>
      <c r="Q24" s="88">
        <f>IF(I23=0,0,IF(I22="SGP-VB",LOOKUP(I23,◆入力◆④「1個放水」計算!$AL$4:$AX$4,◆入力◆④「1個放水」計算!$AL$8:$AX$8),IF(I22="SGP-PB",LOOKUP(I23,◆入力◆④「1個放水」計算!$AL$15:$AX$15,◆入力◆④「1個放水」計算!$AL$19:$AX$19),IF(I22="HIVP",LOOKUP(I23,◆入力◆④「1個放水」計算!$AL$26:$AX$26,◆入力◆④「1個放水」計算!$AL$30:$AX$30),IF(OR(I22="SGP",I22="フレキ"),LOOKUP(I23,◆入力◆④「1個放水」計算!$AL$37:$AX$37,◆入力◆④「1個放水」計算!$AL$41:$AX$41),IF(I22="SUS",LOOKUP(I23,◆入力◆④「1個放水」計算!$AL$48:$AX$48,◆入力◆④「1個放水」計算!$AL$52:$AX$52),IF(OR(I22="PE",I22="PP"),LOOKUP(I23,◆入力◆④「1個放水」計算!$AL$59:$AX$59,◆入力◆④「1個放水」計算!$AL$64:$AX$64))))))))</f>
        <v>0</v>
      </c>
      <c r="R24" s="100">
        <f t="shared" si="0"/>
        <v>0</v>
      </c>
      <c r="S24" s="101"/>
      <c r="T24" s="92"/>
      <c r="U24" s="147">
        <f>IF($F$55&gt;=ROW()-11,◆入力◆④「1個放水」計算!U24,0)</f>
        <v>0</v>
      </c>
      <c r="V24" s="138">
        <f>IF($F$55&gt;=ROW()-11,◆入力◆④「1個放水」計算!V24,0)</f>
        <v>0</v>
      </c>
      <c r="W24" s="100">
        <f>IF($U24="Yスト",AC24,IF($I22="sgp-vb",AD24,IF($I22="sgp-pb",AE24,IF($I22="hivp",AF24,IF(OR($I22="sgp",$I22="フレキ"),AG24,IF($I22="sus",AH24,IF(OR($I22="PE",$I22="PP"),AI24,0)))))))</f>
        <v>0</v>
      </c>
      <c r="X24" s="82">
        <f t="shared" si="1"/>
        <v>0</v>
      </c>
      <c r="Y24" s="83"/>
      <c r="Z24" s="92">
        <f>ROUNDUP(L23*Y23,2)</f>
        <v>0</v>
      </c>
      <c r="AA24" s="40"/>
      <c r="AB24" s="93"/>
      <c r="AC24" s="90">
        <f>IF(U24="Yスト",IF(I22="SGP-VB",LOOKUP(I23,◆入力◆④「1個放水」計算!$AL$4:$AX$4,◆入力◆④「1個放水」計算!$AL$11:$AX$11),IF(I22="SGP-PB",LOOKUP(I23,◆入力◆④「1個放水」計算!$AL$15:$AX$15,◆入力◆④「1個放水」計算!$AL$22:$AX$22),IF(I22="HIVP",LOOKUP(I23,◆入力◆④「1個放水」計算!$AL$26:$AX$26,◆入力◆④「1個放水」計算!$AL$33:$AX$33),IF(OR(I22="SGP",I22="フレキ"),LOOKUP(I23,◆入力◆④「1個放水」計算!$AL$37:$AX$37,◆入力◆④「1個放水」計算!$AL$44:$AX$44),IF(I22="SUS",LOOKUP(I23,◆入力◆④「1個放水」計算!$AL$48:$AX$48,◆入力◆④「1個放水」計算!$AL$55:$AX$55),IF(OR(I22="PE",I22="PP"),LOOKUP(I23,◆入力◆④「1個放水」計算!$AL$59:$AX$59,◆入力◆④「1個放水」計算!$AL$67:$AX$67))))))),0)</f>
        <v>0</v>
      </c>
      <c r="AD24" s="90">
        <f>IF($U24="仕切弁",LOOKUP($I23,◆入力◆④「1個放水」計算!$AL$4:$AX$4,◆入力◆④「1個放水」計算!$AL$9:$AX$9),IF($U24="逆止弁",LOOKUP($I23,◆入力◆④「1個放水」計算!$AL$4:$AX$4,◆入力◆④「1個放水」計算!$AL$10:$AX$10),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E24" s="90">
        <f>IF($U24="仕切弁",LOOKUP($I23,◆入力◆④「1個放水」計算!$AL$15:$AX$15,◆入力◆④「1個放水」計算!$AL$20:$AX$20),IF($U24="逆止弁",LOOKUP($I23,◆入力◆④「1個放水」計算!$AL$15:$AX$15,◆入力◆④「1個放水」計算!$AL$21:$AX$21),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F24" s="90">
        <f>IF($U24="仕切弁",LOOKUP($I23,◆入力◆④「1個放水」計算!$AL$26:$AX$26,◆入力◆④「1個放水」計算!$AL$31:$AX$31),IF($U24="逆止弁",LOOKUP($I23,◆入力◆④「1個放水」計算!$AL$26:$AX$26,◆入力◆④「1個放水」計算!$AL$32:$AX$32),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G24" s="90">
        <f>IF($U24="仕切弁",LOOKUP($I23,◆入力◆④「1個放水」計算!$AL$37:$AX$37,◆入力◆④「1個放水」計算!$AL$42:$AX$42),IF($U24="逆止弁",LOOKUP($I23,◆入力◆④「1個放水」計算!$AL$37:$AX$37,◆入力◆④「1個放水」計算!$AL$43:$AX$43),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H24" s="90">
        <f>IF($U24="仕切弁",LOOKUP($I23,◆入力◆④「1個放水」計算!$AL$48:$AX$48,◆入力◆④「1個放水」計算!$AL$53:$AX$53),IF($U24="逆止弁",LOOKUP($I23,◆入力◆④「1個放水」計算!$AL$48:$AX$48,◆入力◆④「1個放水」計算!$AL$54:$AX$54),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I24" s="90">
        <f>IF($U24="仕切弁",LOOKUP($I23,◆入力◆④「1個放水」計算!$AL$59:$AX$59,◆入力◆④「1個放水」計算!$AL$65:$AX$65),IF($U24="逆止弁",LOOKUP($I23,◆入力◆④「1個放水」計算!$AL$59:$AX$59,◆入力◆④「1個放水」計算!$AL$66:$AX$66),IF($U24="水道メーター",LOOKUP($I23,◆入力◆④「1個放水」計算!$AL$70:$AQ$70,◆入力◆④「1個放水」計算!$AL$71:$AQ$71),IF($U24="止水栓",LOOKUP($I23,◆入力◆④「1個放水」計算!$AL$70:$AQ$70,◆入力◆④「1個放水」計算!$AL$72:$AQ$72),IF($U24="分水栓",LOOKUP($I23,◆入力◆④「1個放水」計算!$AL$70:$AQ$70,◆入力◆④「1個放水」計算!$AL$73:$AQ$73),IF($U24="巻き出しフレキ",LOOKUP($I23,◆入力◆④「1個放水」計算!$AL$70:$AQ$70,◆入力◆④「1個放水」計算!$AL$74:$AQ$74),IF($U24="",0,0)))))))</f>
        <v>0</v>
      </c>
      <c r="AJ24" s="144"/>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row>
    <row r="25" spans="6:70" x14ac:dyDescent="0.15">
      <c r="F25" s="235" t="s">
        <v>26</v>
      </c>
      <c r="G25" s="40"/>
      <c r="H25" s="154"/>
      <c r="I25" s="133">
        <f>IF($F$55&gt;=ROW()-9,◆入力◆④「1個放水」計算!I25,0)</f>
        <v>0</v>
      </c>
      <c r="J25" s="121"/>
      <c r="K25" s="165"/>
      <c r="L25" s="95"/>
      <c r="M25" s="135"/>
      <c r="N25" s="85"/>
      <c r="O25" s="77">
        <f>IF(I26=0,0,"E９０°")</f>
        <v>0</v>
      </c>
      <c r="P25" s="136">
        <f>IF($F$55&gt;=ROW()-9,◆入力◆④「1個放水」計算!P25,0)</f>
        <v>0</v>
      </c>
      <c r="Q25" s="78">
        <f>IF(I26=0,0,IF(I25="SGP-VB",LOOKUP(I26,◆入力◆④「1個放水」計算!$AL$4:$AX$4,◆入力◆④「1個放水」計算!$AL$6:$AX$6),IF(I25="SGP-PB",LOOKUP(I26,◆入力◆④「1個放水」計算!$AL$15:$AX$15,◆入力◆④「1個放水」計算!$AL$17:$AX$17),IF(I25="HIVP",LOOKUP(I26,◆入力◆④「1個放水」計算!$AL$26:$AX$26,◆入力◆④「1個放水」計算!$AL$28:$AX$28),IF(OR(I25="SGP",I25="フレキ"),LOOKUP(I26,◆入力◆④「1個放水」計算!$AL$37:$AX$37,◆入力◆④「1個放水」計算!$AL$39:$AX$39),IF(I25="SUS",LOOKUP(I26,◆入力◆④「1個放水」計算!$AL$48:$AX$48,◆入力◆④「1個放水」計算!$AL$50:$AX$50),IF(OR(I25="PE",I25="PP"),LOOKUP(I26,◆入力◆④「1個放水」計算!$AL$59:$AX$59,◆入力◆④「1個放水」計算!$AL$61:$AX$61))))))))</f>
        <v>0</v>
      </c>
      <c r="R25" s="79">
        <f t="shared" si="0"/>
        <v>0</v>
      </c>
      <c r="S25" s="80"/>
      <c r="T25" s="81">
        <v>0</v>
      </c>
      <c r="U25" s="137">
        <f>IF($F$55&gt;=ROW()-9,◆入力◆④「1個放水」計算!U25,0)</f>
        <v>0</v>
      </c>
      <c r="V25" s="136">
        <f>IF($F$55&gt;=ROW()-9,◆入力◆④「1個放水」計算!V25,0)</f>
        <v>0</v>
      </c>
      <c r="W25" s="82">
        <f>IF($U25="Yスト",AC25,IF($I25="sgp-vb",AD25,IF($I25="sgp-pb",AE25,IF($I25="hivp",AF25,IF(OR($I25="sgp",$I25="フレキ"),AG25,IF($I25="sus",AH25,IF(OR($I25="PE",$I25="PP"),AI25,0)))))))</f>
        <v>0</v>
      </c>
      <c r="X25" s="79">
        <f t="shared" si="1"/>
        <v>0</v>
      </c>
      <c r="Y25" s="80"/>
      <c r="Z25" s="84">
        <f>IF(AND($U25="電動弁",$V25=1),LOOKUP($K26,◆入力◆④「1個放水」計算!$AL$77:$BQ$77,◆入力◆④「1個放水」計算!$AL$78:$BQ$78),IF(AND($U26="電動弁",$V26=1),LOOKUP($K26,◆入力◆④「1個放水」計算!$AL$77:$BQ$77,◆入力◆④「1個放水」計算!$AL$78:$BQ$78),IF(AND($U27="電動弁",$V27=1),LOOKUP($K26,◆入力◆④「1個放水」計算!$AL$77:$BQ$77,◆入力◆④「1個放水」計算!$AL$78:$BQ$78),0)))</f>
        <v>0</v>
      </c>
      <c r="AA25" s="40"/>
      <c r="AB25" s="76"/>
      <c r="AC25" s="86">
        <f>IF(U25="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5" s="86">
        <f>IF($U25="仕切弁",LOOKUP($I26,◆入力◆④「1個放水」計算!$AL$4:$AX$4,◆入力◆④「1個放水」計算!$AL$9:$AX$9),IF($U25="逆止弁",LOOKUP($I26,◆入力◆④「1個放水」計算!$AL$4:$AX$4,◆入力◆④「1個放水」計算!$AL$10:$AX$10),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E25" s="86">
        <f>IF($U25="仕切弁",LOOKUP($I26,◆入力◆④「1個放水」計算!$AL$15:$AX$15,◆入力◆④「1個放水」計算!$AL$20:$AX$20),IF($U25="逆止弁",LOOKUP($I26,◆入力◆④「1個放水」計算!$AL$15:$AX$15,◆入力◆④「1個放水」計算!$AL$21:$AX$21),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F25" s="86">
        <f>IF($U25="仕切弁",LOOKUP($I26,◆入力◆④「1個放水」計算!$AL$26:$AX$26,◆入力◆④「1個放水」計算!$AL$31:$AX$31),IF($U25="逆止弁",LOOKUP($I26,◆入力◆④「1個放水」計算!$AL$26:$AX$26,◆入力◆④「1個放水」計算!$AL$32:$AX$32),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G25" s="86">
        <f>IF($U25="仕切弁",LOOKUP($I26,◆入力◆④「1個放水」計算!$AL$37:$AX$37,◆入力◆④「1個放水」計算!$AL$42:$AX$42),IF($U25="逆止弁",LOOKUP($I26,◆入力◆④「1個放水」計算!$AL$37:$AX$37,◆入力◆④「1個放水」計算!$AL$43:$AX$43),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H25" s="86">
        <f>IF($U25="仕切弁",LOOKUP($I26,◆入力◆④「1個放水」計算!$AL$48:$AX$48,◆入力◆④「1個放水」計算!$AL$53:$AX$53),IF($U25="逆止弁",LOOKUP($I26,◆入力◆④「1個放水」計算!$AL$48:$AX$48,◆入力◆④「1個放水」計算!$AL$54:$AX$54),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I25" s="86">
        <f>IF($U25="仕切弁",LOOKUP($I26,◆入力◆④「1個放水」計算!$AL$59:$AX$59,◆入力◆④「1個放水」計算!$AL$65:$AX$65),IF($U25="逆止弁",LOOKUP($I26,◆入力◆④「1個放水」計算!$AL$59:$AX$59,◆入力◆④「1個放水」計算!$AL$66:$AX$66),IF($U25="水道メーター",LOOKUP($I26,◆入力◆④「1個放水」計算!$AL$70:$AQ$70,◆入力◆④「1個放水」計算!$AL$71:$AQ$71),IF($U25="止水栓",LOOKUP($I26,◆入力◆④「1個放水」計算!$AL$70:$AQ$70,◆入力◆④「1個放水」計算!$AL$72:$AQ$72),IF($U25="分水栓",LOOKUP($I26,◆入力◆④「1個放水」計算!$AL$70:$AQ$70,◆入力◆④「1個放水」計算!$AL$73:$AQ$73),IF($U25="巻き出しフレキ",LOOKUP($I26,◆入力◆④「1個放水」計算!$AL$70:$AQ$70,◆入力◆④「1個放水」計算!$AL$74:$AQ$74),IF($U25="",0,0)))))))</f>
        <v>0</v>
      </c>
      <c r="AJ25" s="144"/>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row>
    <row r="26" spans="6:70" x14ac:dyDescent="0.15">
      <c r="F26" s="235"/>
      <c r="G26" s="40"/>
      <c r="H26" s="149">
        <f>IF($F$55&gt;=ROW()-10,◆入力◆④「1個放水」計算!H26,0)</f>
        <v>0</v>
      </c>
      <c r="I26" s="140">
        <f>IF($F$55&gt;=ROW()-10,◆入力◆④「1個放水」計算!I26,0)</f>
        <v>0</v>
      </c>
      <c r="J26" s="121"/>
      <c r="K26" s="165">
        <f>IF($F$55&gt;=ROW()-10,◆入力◆④「1個放水」計算!K26,0)</f>
        <v>0</v>
      </c>
      <c r="L26" s="74">
        <f>IF(I26=0,0,IF(I26&gt;=65,K26^1.85*0.012/I27^4.87,ROUNDUP((0.0126+(0.01739-(0.1087*I27/100))/SQRT(4*K26/(60000*PI()*(I27/100)^2)))*(1/(I27/100))*((4*K26/(60000*PI()*(I27/100)^2))^2/(2*9.8)),4)))</f>
        <v>0</v>
      </c>
      <c r="M26" s="142">
        <f>IF($F$55&gt;=ROW()-10,◆入力◆④「1個放水」計算!M26,0)</f>
        <v>0</v>
      </c>
      <c r="N26" s="84">
        <f>ROUNDUP(L26*M26,2)</f>
        <v>0</v>
      </c>
      <c r="O26" s="87">
        <f>IF(I26=0,0,"Ｔ直")</f>
        <v>0</v>
      </c>
      <c r="P26" s="138">
        <f>IF($F$55&gt;=ROW()-10,◆入力◆④「1個放水」計算!P26,0)</f>
        <v>0</v>
      </c>
      <c r="Q26" s="88">
        <f>IF(I26=0,0,IF(I25="SGP-VB",LOOKUP(I26,◆入力◆④「1個放水」計算!$AL$4:$AX$4,◆入力◆④「1個放水」計算!$AL$7:$AX$7),IF(I25="SGP-PB",LOOKUP(I26,◆入力◆④「1個放水」計算!$AL$15:$AX$15,◆入力◆④「1個放水」計算!$AL$18:$AX$18),IF(I25="HIVP",LOOKUP(I26,◆入力◆④「1個放水」計算!$AL$26:$AX$26,◆入力◆④「1個放水」計算!$AL$29:$AX$29),IF(OR(I25="SGP",I25="フレキ"),LOOKUP(I26,◆入力◆④「1個放水」計算!$AL$37:$AX$37,◆入力◆④「1個放水」計算!$AL$40:$AX$40),IF(I25="SUS",LOOKUP(I26,◆入力◆④「1個放水」計算!$AL$48:$AX$48,◆入力◆④「1個放水」計算!$AL$51:$AX$51),IF(OR(I25="PE",I25="PP"),LOOKUP(I26,◆入力◆④「1個放水」計算!$AL$59:$AX$59,◆入力◆④「1個放水」計算!$AL$63:$AX$63))))))))</f>
        <v>0</v>
      </c>
      <c r="R26" s="82">
        <f t="shared" si="0"/>
        <v>0</v>
      </c>
      <c r="S26" s="83">
        <f>R25+R26+R27</f>
        <v>0</v>
      </c>
      <c r="T26" s="84">
        <f>ROUNDUP(L26*S26,2)</f>
        <v>0</v>
      </c>
      <c r="U26" s="143">
        <f>IF($F$55&gt;=ROW()-10,◆入力◆④「1個放水」計算!U26,0)</f>
        <v>0</v>
      </c>
      <c r="V26" s="138">
        <f>IF($F$55&gt;=ROW()-10,◆入力◆④「1個放水」計算!V26,0)</f>
        <v>0</v>
      </c>
      <c r="W26" s="82">
        <f>IF($U26="Yスト",AC26,IF($I25="sgp-vb",AD26,IF($I25="sgp-pb",AE26,IF($I25="hivp",AF26,IF(OR($I25="sgp",$I25="フレキ"),AG26,IF($I25="sus",AH26,IF(OR($I25="PE",$I25="PP"),AI26,0)))))))</f>
        <v>0</v>
      </c>
      <c r="X26" s="82">
        <f t="shared" si="1"/>
        <v>0</v>
      </c>
      <c r="Y26" s="83">
        <f>SUM(X25:X27)</f>
        <v>0</v>
      </c>
      <c r="Z26" s="84"/>
      <c r="AA26" s="40"/>
      <c r="AB26" s="84">
        <f>N26+T26+Z25+Z26+Z27</f>
        <v>0</v>
      </c>
      <c r="AC26" s="89">
        <f>IF(U26="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6" s="90">
        <f>IF($U26="仕切弁",LOOKUP($I26,◆入力◆④「1個放水」計算!$AL$4:$AX$4,◆入力◆④「1個放水」計算!$AL$9:$AX$9),IF($U26="逆止弁",LOOKUP($I26,◆入力◆④「1個放水」計算!$AL$4:$AX$4,◆入力◆④「1個放水」計算!$AL$10:$AX$10),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E26" s="90">
        <f>IF($U26="仕切弁",LOOKUP($I26,◆入力◆④「1個放水」計算!$AL$15:$AX$15,◆入力◆④「1個放水」計算!$AL$20:$AX$20),IF($U26="逆止弁",LOOKUP($I26,◆入力◆④「1個放水」計算!$AL$15:$AX$15,◆入力◆④「1個放水」計算!$AL$21:$AX$21),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F26" s="90">
        <f>IF($U26="仕切弁",LOOKUP($I26,◆入力◆④「1個放水」計算!$AL$26:$AX$26,◆入力◆④「1個放水」計算!$AL$31:$AX$31),IF($U26="逆止弁",LOOKUP($I26,◆入力◆④「1個放水」計算!$AL$26:$AX$26,◆入力◆④「1個放水」計算!$AL$32:$AX$32),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G26" s="90">
        <f>IF($U26="仕切弁",LOOKUP($I26,◆入力◆④「1個放水」計算!$AL$37:$AX$37,◆入力◆④「1個放水」計算!$AL$42:$AX$42),IF($U26="逆止弁",LOOKUP($I26,◆入力◆④「1個放水」計算!$AL$37:$AX$37,◆入力◆④「1個放水」計算!$AL$43:$AX$43),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H26" s="90">
        <f>IF($U26="仕切弁",LOOKUP($I26,◆入力◆④「1個放水」計算!$AL$48:$AX$48,◆入力◆④「1個放水」計算!$AL$53:$AX$53),IF($U26="逆止弁",LOOKUP($I26,◆入力◆④「1個放水」計算!$AL$48:$AX$48,◆入力◆④「1個放水」計算!$AL$54:$AX$54),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I26" s="90">
        <f>IF($U26="仕切弁",LOOKUP($I26,◆入力◆④「1個放水」計算!$AL$59:$AX$59,◆入力◆④「1個放水」計算!$AL$65:$AX$65),IF($U26="逆止弁",LOOKUP($I26,◆入力◆④「1個放水」計算!$AL$59:$AX$59,◆入力◆④「1個放水」計算!$AL$66:$AX$66),IF($U26="水道メーター",LOOKUP($I26,◆入力◆④「1個放水」計算!$AL$70:$AQ$70,◆入力◆④「1個放水」計算!$AL$71:$AQ$71),IF($U26="止水栓",LOOKUP($I26,◆入力◆④「1個放水」計算!$AL$70:$AQ$70,◆入力◆④「1個放水」計算!$AL$72:$AQ$72),IF($U26="分水栓",LOOKUP($I26,◆入力◆④「1個放水」計算!$AL$70:$AQ$70,◆入力◆④「1個放水」計算!$AL$73:$AQ$73),IF($U26="巻き出しフレキ",LOOKUP($I26,◆入力◆④「1個放水」計算!$AL$70:$AQ$70,◆入力◆④「1個放水」計算!$AL$74:$AQ$74),IF($U26="",0,0)))))))</f>
        <v>0</v>
      </c>
      <c r="AJ26" s="144"/>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row>
    <row r="27" spans="6:70" x14ac:dyDescent="0.15">
      <c r="F27" s="235"/>
      <c r="G27" s="40"/>
      <c r="H27" s="149"/>
      <c r="I27" s="146" t="b">
        <f>IF(I26="",0,IF(I25="SGP-VB",LOOKUP(I26,◆入力◆④「1個放水」計算!$AL$4:$AX$4,◆入力◆④「1個放水」計算!$AL$5:$AX$5),IF(I25="SGP-PB",LOOKUP(I26,◆入力◆④「1個放水」計算!$AL$15:$AX$15,◆入力◆④「1個放水」計算!$AL$16:$AX$16),IF(I25="HIVP",LOOKUP(I26,◆入力◆④「1個放水」計算!$AL$26:$AX$26,◆入力◆④「1個放水」計算!$AL$27:$AX$27),IF(OR(I25="SGP",I25="フレキ"),LOOKUP(I26,◆入力◆④「1個放水」計算!$AL$37:$AX$37,◆入力◆④「1個放水」計算!$AL$38:$AX$38),IF(I25="SUS",LOOKUP(I26,◆入力◆④「1個放水」計算!$AL$48:$AX$48,◆入力◆④「1個放水」計算!$AL$49:$AX$49),IF(OR(I25="PE",I25="PP"),LOOKUP(I26,◆入力◆④「1個放水」計算!$AL$59:$AX$59,◆入力◆④「1個放水」計算!$AL$60:$AX$60))))))))</f>
        <v>0</v>
      </c>
      <c r="J27" s="121"/>
      <c r="K27" s="165"/>
      <c r="L27" s="98"/>
      <c r="M27" s="151"/>
      <c r="N27" s="93"/>
      <c r="O27" s="87">
        <f>IF(I26=0,0,"Ｔ分")</f>
        <v>0</v>
      </c>
      <c r="P27" s="152">
        <f>IF($F$55&gt;=ROW()-11,◆入力◆④「1個放水」計算!P27,0)</f>
        <v>0</v>
      </c>
      <c r="Q27" s="88">
        <f>IF(I26=0,0,IF(I25="SGP-VB",LOOKUP(I26,◆入力◆④「1個放水」計算!$AL$4:$AX$4,◆入力◆④「1個放水」計算!$AL$8:$AX$8),IF(I25="SGP-PB",LOOKUP(I26,◆入力◆④「1個放水」計算!$AL$15:$AX$15,◆入力◆④「1個放水」計算!$AL$19:$AX$19),IF(I25="HIVP",LOOKUP(I26,◆入力◆④「1個放水」計算!$AL$26:$AX$26,◆入力◆④「1個放水」計算!$AL$30:$AX$30),IF(OR(I25="SGP",I25="フレキ"),LOOKUP(I26,◆入力◆④「1個放水」計算!$AL$37:$AX$37,◆入力◆④「1個放水」計算!$AL$41:$AX$41),IF(I25="SUS",LOOKUP(I26,◆入力◆④「1個放水」計算!$AL$48:$AX$48,◆入力◆④「1個放水」計算!$AL$52:$AX$52),IF(OR(I25="PE",I25="PP"),LOOKUP(I26,◆入力◆④「1個放水」計算!$AL$59:$AX$59,◆入力◆④「1個放水」計算!$AL$64:$AX$64))))))))</f>
        <v>0</v>
      </c>
      <c r="R27" s="100">
        <f t="shared" si="0"/>
        <v>0</v>
      </c>
      <c r="S27" s="101"/>
      <c r="T27" s="92"/>
      <c r="U27" s="147">
        <f>IF($F$55&gt;=ROW()-11,◆入力◆④「1個放水」計算!U27,0)</f>
        <v>0</v>
      </c>
      <c r="V27" s="152">
        <f>IF($F$55&gt;=ROW()-11,◆入力◆④「1個放水」計算!V27,0)</f>
        <v>0</v>
      </c>
      <c r="W27" s="100">
        <f>IF($U27="Yスト",AC27,IF($I25="sgp-vb",AD27,IF($I25="sgp-pb",AE27,IF($I25="hivp",AF27,IF(OR($I25="sgp",$I25="フレキ"),AG27,IF($I25="sus",AH27,IF(OR($I25="PE",$I25="PP"),AI27,0)))))))</f>
        <v>0</v>
      </c>
      <c r="X27" s="100">
        <f t="shared" si="1"/>
        <v>0</v>
      </c>
      <c r="Y27" s="101"/>
      <c r="Z27" s="92">
        <f>ROUNDUP(L26*Y26,2)</f>
        <v>0</v>
      </c>
      <c r="AA27" s="40"/>
      <c r="AB27" s="76"/>
      <c r="AC27" s="90">
        <f>IF(U27="Yスト",IF(I25="SGP-VB",LOOKUP(I26,◆入力◆④「1個放水」計算!$AL$4:$AX$4,◆入力◆④「1個放水」計算!$AL$11:$AX$11),IF(I25="SGP-PB",LOOKUP(I26,◆入力◆④「1個放水」計算!$AL$15:$AX$15,◆入力◆④「1個放水」計算!$AL$22:$AX$22),IF(I25="HIVP",LOOKUP(I26,◆入力◆④「1個放水」計算!$AL$26:$AX$26,◆入力◆④「1個放水」計算!$AL$33:$AX$33),IF(OR(I25="SGP",I25="フレキ"),LOOKUP(I26,◆入力◆④「1個放水」計算!$AL$37:$AX$37,◆入力◆④「1個放水」計算!$AL$44:$AX$44),IF(I25="SUS",LOOKUP(I26,◆入力◆④「1個放水」計算!$AL$48:$AX$48,◆入力◆④「1個放水」計算!$AL$55:$AX$55),IF(OR(I25="PE",I25="PP"),LOOKUP(I26,◆入力◆④「1個放水」計算!$AL$59:$AX$59,◆入力◆④「1個放水」計算!$AL$67:$AX$67))))))),0)</f>
        <v>0</v>
      </c>
      <c r="AD27" s="90">
        <f>IF($U27="仕切弁",LOOKUP($I26,◆入力◆④「1個放水」計算!$AL$4:$AX$4,◆入力◆④「1個放水」計算!$AL$9:$AX$9),IF($U27="逆止弁",LOOKUP($I26,◆入力◆④「1個放水」計算!$AL$4:$AX$4,◆入力◆④「1個放水」計算!$AL$10:$AX$10),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E27" s="90">
        <f>IF($U27="仕切弁",LOOKUP($I26,◆入力◆④「1個放水」計算!$AL$15:$AX$15,◆入力◆④「1個放水」計算!$AL$20:$AX$20),IF($U27="逆止弁",LOOKUP($I26,◆入力◆④「1個放水」計算!$AL$15:$AX$15,◆入力◆④「1個放水」計算!$AL$21:$AX$21),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F27" s="90">
        <f>IF($U27="仕切弁",LOOKUP($I26,◆入力◆④「1個放水」計算!$AL$26:$AX$26,◆入力◆④「1個放水」計算!$AL$31:$AX$31),IF($U27="逆止弁",LOOKUP($I26,◆入力◆④「1個放水」計算!$AL$26:$AX$26,◆入力◆④「1個放水」計算!$AL$32:$AX$32),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G27" s="90">
        <f>IF($U27="仕切弁",LOOKUP($I26,◆入力◆④「1個放水」計算!$AL$37:$AX$37,◆入力◆④「1個放水」計算!$AL$42:$AX$42),IF($U27="逆止弁",LOOKUP($I26,◆入力◆④「1個放水」計算!$AL$37:$AX$37,◆入力◆④「1個放水」計算!$AL$43:$AX$43),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H27" s="90">
        <f>IF($U27="仕切弁",LOOKUP($I26,◆入力◆④「1個放水」計算!$AL$48:$AX$48,◆入力◆④「1個放水」計算!$AL$53:$AX$53),IF($U27="逆止弁",LOOKUP($I26,◆入力◆④「1個放水」計算!$AL$48:$AX$48,◆入力◆④「1個放水」計算!$AL$54:$AX$54),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I27" s="90">
        <f>IF($U27="仕切弁",LOOKUP($I26,◆入力◆④「1個放水」計算!$AL$59:$AX$59,◆入力◆④「1個放水」計算!$AL$65:$AX$65),IF($U27="逆止弁",LOOKUP($I26,◆入力◆④「1個放水」計算!$AL$59:$AX$59,◆入力◆④「1個放水」計算!$AL$66:$AX$66),IF($U27="水道メーター",LOOKUP($I26,◆入力◆④「1個放水」計算!$AL$70:$AQ$70,◆入力◆④「1個放水」計算!$AL$71:$AQ$71),IF($U27="止水栓",LOOKUP($I26,◆入力◆④「1個放水」計算!$AL$70:$AQ$70,◆入力◆④「1個放水」計算!$AL$72:$AQ$72),IF($U27="分水栓",LOOKUP($I26,◆入力◆④「1個放水」計算!$AL$70:$AQ$70,◆入力◆④「1個放水」計算!$AL$73:$AQ$73),IF($U27="巻き出しフレキ",LOOKUP($I26,◆入力◆④「1個放水」計算!$AL$70:$AQ$70,◆入力◆④「1個放水」計算!$AL$74:$AQ$74),IF($U27="",0,0)))))))</f>
        <v>0</v>
      </c>
      <c r="AJ27" s="144"/>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row>
    <row r="28" spans="6:70" x14ac:dyDescent="0.15">
      <c r="F28" s="235" t="s">
        <v>27</v>
      </c>
      <c r="G28" s="40"/>
      <c r="H28" s="132"/>
      <c r="I28" s="133">
        <f>IF($F$55&gt;=ROW()-9,◆入力◆④「1個放水」計算!I28,0)</f>
        <v>0</v>
      </c>
      <c r="J28" s="121"/>
      <c r="K28" s="164"/>
      <c r="L28" s="74"/>
      <c r="M28" s="142"/>
      <c r="N28" s="76"/>
      <c r="O28" s="77">
        <f>IF(I29=0,0,"E９０°")</f>
        <v>0</v>
      </c>
      <c r="P28" s="136">
        <f>IF($F$55&gt;=ROW()-9,◆入力◆④「1個放水」計算!P28,0)</f>
        <v>0</v>
      </c>
      <c r="Q28" s="78">
        <f>IF(I29=0,0,IF(I28="SGP-VB",LOOKUP(I29,◆入力◆④「1個放水」計算!$AL$4:$AX$4,◆入力◆④「1個放水」計算!$AL$6:$AX$6),IF(I28="SGP-PB",LOOKUP(I29,◆入力◆④「1個放水」計算!$AL$15:$AX$15,◆入力◆④「1個放水」計算!$AL$17:$AX$17),IF(I28="HIVP",LOOKUP(I29,◆入力◆④「1個放水」計算!$AL$26:$AX$26,◆入力◆④「1個放水」計算!$AL$28:$AX$28),IF(OR(I28="SGP",I28="フレキ"),LOOKUP(I29,◆入力◆④「1個放水」計算!$AL$37:$AX$37,◆入力◆④「1個放水」計算!$AL$39:$AX$39),IF(I28="SUS",LOOKUP(I29,◆入力◆④「1個放水」計算!$AL$48:$AX$48,◆入力◆④「1個放水」計算!$AL$50:$AX$50),IF(OR(I28="PE",I28="PP"),LOOKUP(I29,◆入力◆④「1個放水」計算!$AL$59:$AX$59,◆入力◆④「1個放水」計算!$AL$61:$AX$61))))))))</f>
        <v>0</v>
      </c>
      <c r="R28" s="79">
        <f t="shared" si="0"/>
        <v>0</v>
      </c>
      <c r="S28" s="80"/>
      <c r="T28" s="81">
        <v>0</v>
      </c>
      <c r="U28" s="137">
        <f>IF($F$55&gt;=ROW()-9,◆入力◆④「1個放水」計算!U28,0)</f>
        <v>0</v>
      </c>
      <c r="V28" s="138">
        <f>IF($F$55&gt;=ROW()-9,◆入力◆④「1個放水」計算!V28,0)</f>
        <v>0</v>
      </c>
      <c r="W28" s="82">
        <f>IF($U28="Yスト",AC28,IF($I28="sgp-vb",AD28,IF($I28="sgp-pb",AE28,IF($I28="hivp",AF28,IF(OR($I28="sgp",$I28="フレキ"),AG28,IF($I28="sus",AH28,IF(OR($I28="PE",$I28="PP"),AI28,0)))))))</f>
        <v>0</v>
      </c>
      <c r="X28" s="82">
        <f t="shared" si="1"/>
        <v>0</v>
      </c>
      <c r="Y28" s="83"/>
      <c r="Z28" s="84">
        <f>IF(AND($U28="電動弁",$V28=1),LOOKUP($K29,◆入力◆④「1個放水」計算!$AL$77:$BQ$77,◆入力◆④「1個放水」計算!$AL$78:$BQ$78),IF(AND($U29="電動弁",$V29=1),LOOKUP($K29,◆入力◆④「1個放水」計算!$AL$77:$BQ$77,◆入力◆④「1個放水」計算!$AL$78:$BQ$78),IF(AND($U30="電動弁",$V30=1),LOOKUP($K29,◆入力◆④「1個放水」計算!$AL$77:$BQ$77,◆入力◆④「1個放水」計算!$AL$78:$BQ$78),0)))</f>
        <v>0</v>
      </c>
      <c r="AA28" s="40"/>
      <c r="AB28" s="85"/>
      <c r="AC28" s="86">
        <f>IF(U28="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28" s="86">
        <f>IF($U28="仕切弁",LOOKUP($I29,◆入力◆④「1個放水」計算!$AL$4:$AX$4,◆入力◆④「1個放水」計算!$AL$9:$AX$9),IF($U28="逆止弁",LOOKUP($I29,◆入力◆④「1個放水」計算!$AL$4:$AX$4,◆入力◆④「1個放水」計算!$AL$10:$AX$10),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E28" s="86">
        <f>IF($U28="仕切弁",LOOKUP($I29,◆入力◆④「1個放水」計算!$AL$15:$AX$15,◆入力◆④「1個放水」計算!$AL$20:$AX$20),IF($U28="逆止弁",LOOKUP($I29,◆入力◆④「1個放水」計算!$AL$15:$AX$15,◆入力◆④「1個放水」計算!$AL$21:$AX$21),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F28" s="86">
        <f>IF($U28="仕切弁",LOOKUP($I29,◆入力◆④「1個放水」計算!$AL$26:$AX$26,◆入力◆④「1個放水」計算!$AL$31:$AX$31),IF($U28="逆止弁",LOOKUP($I29,◆入力◆④「1個放水」計算!$AL$26:$AX$26,◆入力◆④「1個放水」計算!$AL$32:$AX$32),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G28" s="86">
        <f>IF($U28="仕切弁",LOOKUP($I29,◆入力◆④「1個放水」計算!$AL$37:$AX$37,◆入力◆④「1個放水」計算!$AL$42:$AX$42),IF($U28="逆止弁",LOOKUP($I29,◆入力◆④「1個放水」計算!$AL$37:$AX$37,◆入力◆④「1個放水」計算!$AL$43:$AX$43),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H28" s="86">
        <f>IF($U28="仕切弁",LOOKUP($I29,◆入力◆④「1個放水」計算!$AL$48:$AX$48,◆入力◆④「1個放水」計算!$AL$53:$AX$53),IF($U28="逆止弁",LOOKUP($I29,◆入力◆④「1個放水」計算!$AL$48:$AX$48,◆入力◆④「1個放水」計算!$AL$54:$AX$54),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I28" s="86">
        <f>IF($U28="仕切弁",LOOKUP($I29,◆入力◆④「1個放水」計算!$AL$59:$AX$59,◆入力◆④「1個放水」計算!$AL$65:$AX$65),IF($U28="逆止弁",LOOKUP($I29,◆入力◆④「1個放水」計算!$AL$59:$AX$59,◆入力◆④「1個放水」計算!$AL$66:$AX$66),IF($U28="水道メーター",LOOKUP($I29,◆入力◆④「1個放水」計算!$AL$70:$AQ$70,◆入力◆④「1個放水」計算!$AL$71:$AQ$71),IF($U28="止水栓",LOOKUP($I29,◆入力◆④「1個放水」計算!$AL$70:$AQ$70,◆入力◆④「1個放水」計算!$AL$72:$AQ$72),IF($U28="分水栓",LOOKUP($I29,◆入力◆④「1個放水」計算!$AL$70:$AQ$70,◆入力◆④「1個放水」計算!$AL$73:$AQ$73),IF($U28="巻き出しフレキ",LOOKUP($I29,◆入力◆④「1個放水」計算!$AL$70:$AQ$70,◆入力◆④「1個放水」計算!$AL$74:$AQ$74),IF($U28="",0,0)))))))</f>
        <v>0</v>
      </c>
      <c r="AJ28" s="144"/>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row>
    <row r="29" spans="6:70" x14ac:dyDescent="0.15">
      <c r="F29" s="235"/>
      <c r="G29" s="40"/>
      <c r="H29" s="149">
        <f>IF($F$55&gt;=ROW()-10,◆入力◆④「1個放水」計算!H29,0)</f>
        <v>0</v>
      </c>
      <c r="I29" s="140">
        <f>IF($F$55&gt;=ROW()-10,◆入力◆④「1個放水」計算!I29,0)</f>
        <v>0</v>
      </c>
      <c r="J29" s="121"/>
      <c r="K29" s="165">
        <f>IF($F$55&gt;=ROW()-10,◆入力◆④「1個放水」計算!K29,0)</f>
        <v>0</v>
      </c>
      <c r="L29" s="74">
        <f>IF(I29=0,0,IF(I29&gt;=65,K29^1.85*0.012/I30^4.87,ROUNDUP((0.0126+(0.01739-(0.1087*I30/100))/SQRT(4*K29/(60000*PI()*(I30/100)^2)))*(1/(I30/100))*((4*K29/(60000*PI()*(I30/100)^2))^2/(2*9.8)),4)))</f>
        <v>0</v>
      </c>
      <c r="M29" s="142">
        <f>IF($F$55&gt;=ROW()-10,◆入力◆④「1個放水」計算!M29,0)</f>
        <v>0</v>
      </c>
      <c r="N29" s="84">
        <f>ROUNDUP(L29*M29,2)</f>
        <v>0</v>
      </c>
      <c r="O29" s="87">
        <f>IF(I29=0,0,"Ｔ直")</f>
        <v>0</v>
      </c>
      <c r="P29" s="138">
        <f>IF($F$55&gt;=ROW()-10,◆入力◆④「1個放水」計算!P29,0)</f>
        <v>0</v>
      </c>
      <c r="Q29" s="88">
        <f>IF(I29=0,0,IF(I28="SGP-VB",LOOKUP(I29,◆入力◆④「1個放水」計算!$AL$4:$AX$4,◆入力◆④「1個放水」計算!$AL$7:$AX$7),IF(I28="SGP-PB",LOOKUP(I29,◆入力◆④「1個放水」計算!$AL$15:$AX$15,◆入力◆④「1個放水」計算!$AL$18:$AX$18),IF(I28="HIVP",LOOKUP(I29,◆入力◆④「1個放水」計算!$AL$26:$AX$26,◆入力◆④「1個放水」計算!$AL$29:$AX$29),IF(OR(I28="SGP",I28="フレキ"),LOOKUP(I29,◆入力◆④「1個放水」計算!$AL$37:$AX$37,◆入力◆④「1個放水」計算!$AL$40:$AX$40),IF(I28="SUS",LOOKUP(I29,◆入力◆④「1個放水」計算!$AL$48:$AX$48,◆入力◆④「1個放水」計算!$AL$51:$AX$51),IF(OR(I28="PE",I28="PP"),LOOKUP(I29,◆入力◆④「1個放水」計算!$AL$59:$AX$59,◆入力◆④「1個放水」計算!$AL$63:$AX$63))))))))</f>
        <v>0</v>
      </c>
      <c r="R29" s="82">
        <f t="shared" si="0"/>
        <v>0</v>
      </c>
      <c r="S29" s="83">
        <f>R28+R29+R30</f>
        <v>0</v>
      </c>
      <c r="T29" s="84">
        <f>ROUNDUP(L29*S29,2)</f>
        <v>0</v>
      </c>
      <c r="U29" s="143">
        <f>IF($F$55&gt;=ROW()-10,◆入力◆④「1個放水」計算!U29,0)</f>
        <v>0</v>
      </c>
      <c r="V29" s="138">
        <f>IF($F$55&gt;=ROW()-10,◆入力◆④「1個放水」計算!V29,0)</f>
        <v>0</v>
      </c>
      <c r="W29" s="82">
        <f>IF($U29="Yスト",AC29,IF($I28="sgp-vb",AD29,IF($I28="sgp-pb",AE29,IF($I28="hivp",AF29,IF(OR($I28="sgp",$I28="フレキ"),AG29,IF($I28="sus",AH29,IF(OR($I28="PE",$I28="PP"),AI29,0)))))))</f>
        <v>0</v>
      </c>
      <c r="X29" s="82">
        <f t="shared" si="1"/>
        <v>0</v>
      </c>
      <c r="Y29" s="83">
        <f>SUM(X28:X30)</f>
        <v>0</v>
      </c>
      <c r="Z29" s="84"/>
      <c r="AA29" s="40"/>
      <c r="AB29" s="84">
        <f>N29+T29+Z28+Z29+Z30</f>
        <v>0</v>
      </c>
      <c r="AC29" s="89">
        <f>IF(U29="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29" s="90">
        <f>IF($U29="仕切弁",LOOKUP($I29,◆入力◆④「1個放水」計算!$AL$4:$AX$4,◆入力◆④「1個放水」計算!$AL$9:$AX$9),IF($U29="逆止弁",LOOKUP($I29,◆入力◆④「1個放水」計算!$AL$4:$AX$4,◆入力◆④「1個放水」計算!$AL$10:$AX$10),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E29" s="90">
        <f>IF($U29="仕切弁",LOOKUP($I29,◆入力◆④「1個放水」計算!$AL$15:$AX$15,◆入力◆④「1個放水」計算!$AL$20:$AX$20),IF($U29="逆止弁",LOOKUP($I29,◆入力◆④「1個放水」計算!$AL$15:$AX$15,◆入力◆④「1個放水」計算!$AL$21:$AX$21),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F29" s="90">
        <f>IF($U29="仕切弁",LOOKUP($I29,◆入力◆④「1個放水」計算!$AL$26:$AX$26,◆入力◆④「1個放水」計算!$AL$31:$AX$31),IF($U29="逆止弁",LOOKUP($I29,◆入力◆④「1個放水」計算!$AL$26:$AX$26,◆入力◆④「1個放水」計算!$AL$32:$AX$32),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G29" s="90">
        <f>IF($U29="仕切弁",LOOKUP($I29,◆入力◆④「1個放水」計算!$AL$37:$AX$37,◆入力◆④「1個放水」計算!$AL$42:$AX$42),IF($U29="逆止弁",LOOKUP($I29,◆入力◆④「1個放水」計算!$AL$37:$AX$37,◆入力◆④「1個放水」計算!$AL$43:$AX$43),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H29" s="90">
        <f>IF($U29="仕切弁",LOOKUP($I29,◆入力◆④「1個放水」計算!$AL$48:$AX$48,◆入力◆④「1個放水」計算!$AL$53:$AX$53),IF($U29="逆止弁",LOOKUP($I29,◆入力◆④「1個放水」計算!$AL$48:$AX$48,◆入力◆④「1個放水」計算!$AL$54:$AX$54),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I29" s="90">
        <f>IF($U29="仕切弁",LOOKUP($I29,◆入力◆④「1個放水」計算!$AL$59:$AX$59,◆入力◆④「1個放水」計算!$AL$65:$AX$65),IF($U29="逆止弁",LOOKUP($I29,◆入力◆④「1個放水」計算!$AL$59:$AX$59,◆入力◆④「1個放水」計算!$AL$66:$AX$66),IF($U29="水道メーター",LOOKUP($I29,◆入力◆④「1個放水」計算!$AL$70:$AQ$70,◆入力◆④「1個放水」計算!$AL$71:$AQ$71),IF($U29="止水栓",LOOKUP($I29,◆入力◆④「1個放水」計算!$AL$70:$AQ$70,◆入力◆④「1個放水」計算!$AL$72:$AQ$72),IF($U29="分水栓",LOOKUP($I29,◆入力◆④「1個放水」計算!$AL$70:$AQ$70,◆入力◆④「1個放水」計算!$AL$73:$AQ$73),IF($U29="巻き出しフレキ",LOOKUP($I29,◆入力◆④「1個放水」計算!$AL$70:$AQ$70,◆入力◆④「1個放水」計算!$AL$74:$AQ$74),IF($U29="",0,0)))))))</f>
        <v>0</v>
      </c>
      <c r="AJ29" s="144"/>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row>
    <row r="30" spans="6:70" x14ac:dyDescent="0.15">
      <c r="F30" s="235"/>
      <c r="G30" s="40"/>
      <c r="H30" s="145"/>
      <c r="I30" s="146" t="b">
        <f>IF(I29="",0,IF(I28="SGP-VB",LOOKUP(I29,◆入力◆④「1個放水」計算!$AL$4:$AX$4,◆入力◆④「1個放水」計算!$AL$5:$AX$5),IF(I28="SGP-PB",LOOKUP(I29,◆入力◆④「1個放水」計算!$AL$15:$AX$15,◆入力◆④「1個放水」計算!$AL$16:$AX$16),IF(I28="HIVP",LOOKUP(I29,◆入力◆④「1個放水」計算!$AL$26:$AX$26,◆入力◆④「1個放水」計算!$AL$27:$AX$27),IF(OR(I28="SGP",I28="フレキ"),LOOKUP(I29,◆入力◆④「1個放水」計算!$AL$37:$AX$37,◆入力◆④「1個放水」計算!$AL$38:$AX$38),IF(I28="SUS",LOOKUP(I29,◆入力◆④「1個放水」計算!$AL$48:$AX$48,◆入力◆④「1個放水」計算!$AL$49:$AX$49),IF(OR(I28="PE",I28="PP"),LOOKUP(I29,◆入力◆④「1個放水」計算!$AL$59:$AX$59,◆入力◆④「1個放水」計算!$AL$60:$AX$60))))))))</f>
        <v>0</v>
      </c>
      <c r="J30" s="121"/>
      <c r="K30" s="166"/>
      <c r="L30" s="74"/>
      <c r="M30" s="142"/>
      <c r="N30" s="76"/>
      <c r="O30" s="87">
        <f>IF(I29=0,0,"Ｔ分")</f>
        <v>0</v>
      </c>
      <c r="P30" s="152">
        <f>IF($F$55&gt;=ROW()-11,◆入力◆④「1個放水」計算!P30,0)</f>
        <v>0</v>
      </c>
      <c r="Q30" s="88">
        <f>IF(I29=0,0,IF(I28="SGP-VB",LOOKUP(I29,◆入力◆④「1個放水」計算!$AL$4:$AX$4,◆入力◆④「1個放水」計算!$AL$8:$AX$8),IF(I28="SGP-PB",LOOKUP(I29,◆入力◆④「1個放水」計算!$AL$15:$AX$15,◆入力◆④「1個放水」計算!$AL$19:$AX$19),IF(I28="HIVP",LOOKUP(I29,◆入力◆④「1個放水」計算!$AL$26:$AX$26,◆入力◆④「1個放水」計算!$AL$30:$AX$30),IF(OR(I28="SGP",I28="フレキ"),LOOKUP(I29,◆入力◆④「1個放水」計算!$AL$37:$AX$37,◆入力◆④「1個放水」計算!$AL$41:$AX$41),IF(I28="SUS",LOOKUP(I29,◆入力◆④「1個放水」計算!$AL$48:$AX$48,◆入力◆④「1個放水」計算!$AL$52:$AX$52),IF(OR(I28="PE",I28="PP"),LOOKUP(I29,◆入力◆④「1個放水」計算!$AL$59:$AX$59,◆入力◆④「1個放水」計算!$AL$64:$AX$64))))))))</f>
        <v>0</v>
      </c>
      <c r="R30" s="100">
        <f t="shared" si="0"/>
        <v>0</v>
      </c>
      <c r="S30" s="101"/>
      <c r="T30" s="92"/>
      <c r="U30" s="147">
        <f>IF($F$55&gt;=ROW()-11,◆入力◆④「1個放水」計算!U30,0)</f>
        <v>0</v>
      </c>
      <c r="V30" s="138">
        <f>IF($F$55&gt;=ROW()-11,◆入力◆④「1個放水」計算!V30,0)</f>
        <v>0</v>
      </c>
      <c r="W30" s="100">
        <f>IF($U30="Yスト",AC30,IF($I28="sgp-vb",AD30,IF($I28="sgp-pb",AE30,IF($I28="hivp",AF30,IF(OR($I28="sgp",$I28="フレキ"),AG30,IF($I28="sus",AH30,IF(OR($I28="PE",$I28="PP"),AI30,0)))))))</f>
        <v>0</v>
      </c>
      <c r="X30" s="82">
        <f t="shared" si="1"/>
        <v>0</v>
      </c>
      <c r="Y30" s="83"/>
      <c r="Z30" s="92">
        <f>ROUNDUP(L29*Y29,2)</f>
        <v>0</v>
      </c>
      <c r="AA30" s="40"/>
      <c r="AB30" s="93"/>
      <c r="AC30" s="90">
        <f>IF(U30="Yスト",IF(I28="SGP-VB",LOOKUP(I29,◆入力◆④「1個放水」計算!$AL$4:$AX$4,◆入力◆④「1個放水」計算!$AL$11:$AX$11),IF(I28="SGP-PB",LOOKUP(I29,◆入力◆④「1個放水」計算!$AL$15:$AX$15,◆入力◆④「1個放水」計算!$AL$22:$AX$22),IF(I28="HIVP",LOOKUP(I29,◆入力◆④「1個放水」計算!$AL$26:$AX$26,◆入力◆④「1個放水」計算!$AL$33:$AX$33),IF(OR(I28="SGP",I28="フレキ"),LOOKUP(I29,◆入力◆④「1個放水」計算!$AL$37:$AX$37,◆入力◆④「1個放水」計算!$AL$44:$AX$44),IF(I28="SUS",LOOKUP(I29,◆入力◆④「1個放水」計算!$AL$48:$AX$48,◆入力◆④「1個放水」計算!$AL$55:$AX$55),IF(OR(I28="PE",I28="PP"),LOOKUP(I29,◆入力◆④「1個放水」計算!$AL$59:$AX$59,◆入力◆④「1個放水」計算!$AL$67:$AX$67))))))),0)</f>
        <v>0</v>
      </c>
      <c r="AD30" s="90">
        <f>IF($U30="仕切弁",LOOKUP($I29,◆入力◆④「1個放水」計算!$AL$4:$AX$4,◆入力◆④「1個放水」計算!$AL$9:$AX$9),IF($U30="逆止弁",LOOKUP($I29,◆入力◆④「1個放水」計算!$AL$4:$AX$4,◆入力◆④「1個放水」計算!$AL$10:$AX$10),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E30" s="90">
        <f>IF($U30="仕切弁",LOOKUP($I29,◆入力◆④「1個放水」計算!$AL$15:$AX$15,◆入力◆④「1個放水」計算!$AL$20:$AX$20),IF($U30="逆止弁",LOOKUP($I29,◆入力◆④「1個放水」計算!$AL$15:$AX$15,◆入力◆④「1個放水」計算!$AL$21:$AX$21),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F30" s="90">
        <f>IF($U30="仕切弁",LOOKUP($I29,◆入力◆④「1個放水」計算!$AL$26:$AX$26,◆入力◆④「1個放水」計算!$AL$31:$AX$31),IF($U30="逆止弁",LOOKUP($I29,◆入力◆④「1個放水」計算!$AL$26:$AX$26,◆入力◆④「1個放水」計算!$AL$32:$AX$32),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G30" s="90">
        <f>IF($U30="仕切弁",LOOKUP($I29,◆入力◆④「1個放水」計算!$AL$37:$AX$37,◆入力◆④「1個放水」計算!$AL$42:$AX$42),IF($U30="逆止弁",LOOKUP($I29,◆入力◆④「1個放水」計算!$AL$37:$AX$37,◆入力◆④「1個放水」計算!$AL$43:$AX$43),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H30" s="90">
        <f>IF($U30="仕切弁",LOOKUP($I29,◆入力◆④「1個放水」計算!$AL$48:$AX$48,◆入力◆④「1個放水」計算!$AL$53:$AX$53),IF($U30="逆止弁",LOOKUP($I29,◆入力◆④「1個放水」計算!$AL$48:$AX$48,◆入力◆④「1個放水」計算!$AL$54:$AX$54),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I30" s="90">
        <f>IF($U30="仕切弁",LOOKUP($I29,◆入力◆④「1個放水」計算!$AL$59:$AX$59,◆入力◆④「1個放水」計算!$AL$65:$AX$65),IF($U30="逆止弁",LOOKUP($I29,◆入力◆④「1個放水」計算!$AL$59:$AX$59,◆入力◆④「1個放水」計算!$AL$66:$AX$66),IF($U30="水道メーター",LOOKUP($I29,◆入力◆④「1個放水」計算!$AL$70:$AQ$70,◆入力◆④「1個放水」計算!$AL$71:$AQ$71),IF($U30="止水栓",LOOKUP($I29,◆入力◆④「1個放水」計算!$AL$70:$AQ$70,◆入力◆④「1個放水」計算!$AL$72:$AQ$72),IF($U30="分水栓",LOOKUP($I29,◆入力◆④「1個放水」計算!$AL$70:$AQ$70,◆入力◆④「1個放水」計算!$AL$73:$AQ$73),IF($U30="巻き出しフレキ",LOOKUP($I29,◆入力◆④「1個放水」計算!$AL$70:$AQ$70,◆入力◆④「1個放水」計算!$AL$74:$AQ$74),IF($U30="",0,0)))))))</f>
        <v>0</v>
      </c>
      <c r="AJ30" s="144"/>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row>
    <row r="31" spans="6:70" x14ac:dyDescent="0.15">
      <c r="F31" s="235" t="s">
        <v>28</v>
      </c>
      <c r="G31" s="40"/>
      <c r="H31" s="154"/>
      <c r="I31" s="133">
        <f>IF($F$55&gt;=ROW()-9,◆入力◆④「1個放水」計算!I31,0)</f>
        <v>0</v>
      </c>
      <c r="J31" s="121"/>
      <c r="K31" s="165"/>
      <c r="L31" s="95"/>
      <c r="M31" s="135"/>
      <c r="N31" s="85"/>
      <c r="O31" s="77">
        <f>IF(I32=0,0,"E９０°")</f>
        <v>0</v>
      </c>
      <c r="P31" s="136">
        <f>IF($F$55&gt;=ROW()-9,◆入力◆④「1個放水」計算!P31,0)</f>
        <v>0</v>
      </c>
      <c r="Q31" s="78">
        <f>IF(I32=0,0,IF(I31="SGP-VB",LOOKUP(I32,◆入力◆④「1個放水」計算!$AL$4:$AX$4,◆入力◆④「1個放水」計算!$AL$6:$AX$6),IF(I31="SGP-PB",LOOKUP(I32,◆入力◆④「1個放水」計算!$AL$15:$AX$15,◆入力◆④「1個放水」計算!$AL$17:$AX$17),IF(I31="HIVP",LOOKUP(I32,◆入力◆④「1個放水」計算!$AL$26:$AX$26,◆入力◆④「1個放水」計算!$AL$28:$AX$28),IF(OR(I31="SGP",I31="フレキ"),LOOKUP(I32,◆入力◆④「1個放水」計算!$AL$37:$AX$37,◆入力◆④「1個放水」計算!$AL$39:$AX$39),IF(I31="SUS",LOOKUP(I32,◆入力◆④「1個放水」計算!$AL$48:$AX$48,◆入力◆④「1個放水」計算!$AL$50:$AX$50),IF(OR(I31="PE",I31="PP"),LOOKUP(I32,◆入力◆④「1個放水」計算!$AL$59:$AX$59,◆入力◆④「1個放水」計算!$AL$61:$AX$61))))))))</f>
        <v>0</v>
      </c>
      <c r="R31" s="79">
        <f t="shared" si="0"/>
        <v>0</v>
      </c>
      <c r="S31" s="80"/>
      <c r="T31" s="81">
        <v>0</v>
      </c>
      <c r="U31" s="137">
        <f>IF($F$55&gt;=ROW()-9,◆入力◆④「1個放水」計算!U31,0)</f>
        <v>0</v>
      </c>
      <c r="V31" s="136">
        <f>IF($F$55&gt;=ROW()-9,◆入力◆④「1個放水」計算!V31,0)</f>
        <v>0</v>
      </c>
      <c r="W31" s="82">
        <f>IF($U31="Yスト",AC31,IF($I31="sgp-vb",AD31,IF($I31="sgp-pb",AE31,IF($I31="hivp",AF31,IF(OR($I31="sgp",$I31="フレキ"),AG31,IF($I31="sus",AH31,IF(OR($I31="PE",$I31="PP"),AI31,0)))))))</f>
        <v>0</v>
      </c>
      <c r="X31" s="79">
        <f t="shared" si="1"/>
        <v>0</v>
      </c>
      <c r="Y31" s="80"/>
      <c r="Z31" s="84">
        <f>IF(AND($U31="電動弁",$V31=1),LOOKUP($K32,◆入力◆④「1個放水」計算!$AL$77:$BQ$77,◆入力◆④「1個放水」計算!$AL$78:$BQ$78),IF(AND($U32="電動弁",$V32=1),LOOKUP($K32,◆入力◆④「1個放水」計算!$AL$77:$BQ$77,◆入力◆④「1個放水」計算!$AL$78:$BQ$78),IF(AND($U33="電動弁",$V33=1),LOOKUP($K32,◆入力◆④「1個放水」計算!$AL$77:$BQ$77,◆入力◆④「1個放水」計算!$AL$78:$BQ$78),0)))</f>
        <v>0</v>
      </c>
      <c r="AA31" s="40"/>
      <c r="AB31" s="76"/>
      <c r="AC31" s="86">
        <f>IF(U31="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1" s="86">
        <f>IF($U31="仕切弁",LOOKUP($I32,◆入力◆④「1個放水」計算!$AL$4:$AX$4,◆入力◆④「1個放水」計算!$AL$9:$AX$9),IF($U31="逆止弁",LOOKUP($I32,◆入力◆④「1個放水」計算!$AL$4:$AX$4,◆入力◆④「1個放水」計算!$AL$10:$AX$10),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E31" s="86">
        <f>IF($U31="仕切弁",LOOKUP($I32,◆入力◆④「1個放水」計算!$AL$15:$AX$15,◆入力◆④「1個放水」計算!$AL$20:$AX$20),IF($U31="逆止弁",LOOKUP($I32,◆入力◆④「1個放水」計算!$AL$15:$AX$15,◆入力◆④「1個放水」計算!$AL$21:$AX$21),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F31" s="86">
        <f>IF($U31="仕切弁",LOOKUP($I32,◆入力◆④「1個放水」計算!$AL$26:$AX$26,◆入力◆④「1個放水」計算!$AL$31:$AX$31),IF($U31="逆止弁",LOOKUP($I32,◆入力◆④「1個放水」計算!$AL$26:$AX$26,◆入力◆④「1個放水」計算!$AL$32:$AX$32),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G31" s="86">
        <f>IF($U31="仕切弁",LOOKUP($I32,◆入力◆④「1個放水」計算!$AL$37:$AX$37,◆入力◆④「1個放水」計算!$AL$42:$AX$42),IF($U31="逆止弁",LOOKUP($I32,◆入力◆④「1個放水」計算!$AL$37:$AX$37,◆入力◆④「1個放水」計算!$AL$43:$AX$43),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H31" s="86">
        <f>IF($U31="仕切弁",LOOKUP($I32,◆入力◆④「1個放水」計算!$AL$48:$AX$48,◆入力◆④「1個放水」計算!$AL$53:$AX$53),IF($U31="逆止弁",LOOKUP($I32,◆入力◆④「1個放水」計算!$AL$48:$AX$48,◆入力◆④「1個放水」計算!$AL$54:$AX$54),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I31" s="86">
        <f>IF($U31="仕切弁",LOOKUP($I32,◆入力◆④「1個放水」計算!$AL$59:$AX$59,◆入力◆④「1個放水」計算!$AL$65:$AX$65),IF($U31="逆止弁",LOOKUP($I32,◆入力◆④「1個放水」計算!$AL$59:$AX$59,◆入力◆④「1個放水」計算!$AL$66:$AX$66),IF($U31="水道メーター",LOOKUP($I32,◆入力◆④「1個放水」計算!$AL$70:$AQ$70,◆入力◆④「1個放水」計算!$AL$71:$AQ$71),IF($U31="止水栓",LOOKUP($I32,◆入力◆④「1個放水」計算!$AL$70:$AQ$70,◆入力◆④「1個放水」計算!$AL$72:$AQ$72),IF($U31="分水栓",LOOKUP($I32,◆入力◆④「1個放水」計算!$AL$70:$AQ$70,◆入力◆④「1個放水」計算!$AL$73:$AQ$73),IF($U31="巻き出しフレキ",LOOKUP($I32,◆入力◆④「1個放水」計算!$AL$70:$AQ$70,◆入力◆④「1個放水」計算!$AL$74:$AQ$74),IF($U31="",0,0)))))))</f>
        <v>0</v>
      </c>
      <c r="AJ31" s="115"/>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row>
    <row r="32" spans="6:70" x14ac:dyDescent="0.15">
      <c r="F32" s="235"/>
      <c r="G32" s="40"/>
      <c r="H32" s="149">
        <f>IF($F$55&gt;=ROW()-10,◆入力◆④「1個放水」計算!H32,0)</f>
        <v>0</v>
      </c>
      <c r="I32" s="140">
        <f>IF($F$55&gt;=ROW()-10,◆入力◆④「1個放水」計算!I32,0)</f>
        <v>0</v>
      </c>
      <c r="J32" s="121"/>
      <c r="K32" s="165">
        <f>IF($F$55&gt;=ROW()-10,◆入力◆④「1個放水」計算!K32,0)</f>
        <v>0</v>
      </c>
      <c r="L32" s="74">
        <f>IF(I32=0,0,IF(I32&gt;=65,K32^1.85*0.012/I33^4.87,ROUNDUP((0.0126+(0.01739-(0.1087*I33/100))/SQRT(4*K32/(60000*PI()*(I33/100)^2)))*(1/(I33/100))*((4*K32/(60000*PI()*(I33/100)^2))^2/(2*9.8)),4)))</f>
        <v>0</v>
      </c>
      <c r="M32" s="142">
        <f>IF($F$55&gt;=ROW()-10,◆入力◆④「1個放水」計算!M32,0)</f>
        <v>0</v>
      </c>
      <c r="N32" s="84">
        <f>ROUNDUP(L32*M32,2)</f>
        <v>0</v>
      </c>
      <c r="O32" s="87">
        <f>IF(I32=0,0,"Ｔ直")</f>
        <v>0</v>
      </c>
      <c r="P32" s="138">
        <f>IF($F$55&gt;=ROW()-10,◆入力◆④「1個放水」計算!P32,0)</f>
        <v>0</v>
      </c>
      <c r="Q32" s="88">
        <f>IF(I32=0,0,IF(I31="SGP-VB",LOOKUP(I32,◆入力◆④「1個放水」計算!$AL$4:$AX$4,◆入力◆④「1個放水」計算!$AL$7:$AX$7),IF(I31="SGP-PB",LOOKUP(I32,◆入力◆④「1個放水」計算!$AL$15:$AX$15,◆入力◆④「1個放水」計算!$AL$18:$AX$18),IF(I31="HIVP",LOOKUP(I32,◆入力◆④「1個放水」計算!$AL$26:$AX$26,◆入力◆④「1個放水」計算!$AL$29:$AX$29),IF(OR(I31="SGP",I31="フレキ"),LOOKUP(I32,◆入力◆④「1個放水」計算!$AL$37:$AX$37,◆入力◆④「1個放水」計算!$AL$40:$AX$40),IF(I31="SUS",LOOKUP(I32,◆入力◆④「1個放水」計算!$AL$48:$AX$48,◆入力◆④「1個放水」計算!$AL$51:$AX$51),IF(OR(I31="PE",I31="PP"),LOOKUP(I32,◆入力◆④「1個放水」計算!$AL$59:$AX$59,◆入力◆④「1個放水」計算!$AL$63:$AX$63))))))))</f>
        <v>0</v>
      </c>
      <c r="R32" s="82">
        <f t="shared" si="0"/>
        <v>0</v>
      </c>
      <c r="S32" s="83">
        <f>R31+R32+R33</f>
        <v>0</v>
      </c>
      <c r="T32" s="84">
        <f>ROUNDUP(L32*S32,2)</f>
        <v>0</v>
      </c>
      <c r="U32" s="143">
        <f>IF($F$55&gt;=ROW()-10,◆入力◆④「1個放水」計算!U32,0)</f>
        <v>0</v>
      </c>
      <c r="V32" s="138">
        <f>IF($F$55&gt;=ROW()-10,◆入力◆④「1個放水」計算!V32,0)</f>
        <v>0</v>
      </c>
      <c r="W32" s="82">
        <f>IF($U32="Yスト",AC32,IF($I31="sgp-vb",AD32,IF($I31="sgp-pb",AE32,IF($I31="hivp",AF32,IF(OR($I31="sgp",$I31="フレキ"),AG32,IF($I31="sus",AH32,IF(OR($I31="PE",$I31="PP"),AI32,0)))))))</f>
        <v>0</v>
      </c>
      <c r="X32" s="82">
        <f t="shared" si="1"/>
        <v>0</v>
      </c>
      <c r="Y32" s="83">
        <f>SUM(X31:X33)</f>
        <v>0</v>
      </c>
      <c r="Z32" s="84"/>
      <c r="AA32" s="40"/>
      <c r="AB32" s="84">
        <f>N32+T32+Z31+Z32+Z33</f>
        <v>0</v>
      </c>
      <c r="AC32" s="89">
        <f>IF(U32="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2" s="90">
        <f>IF($U32="仕切弁",LOOKUP($I32,◆入力◆④「1個放水」計算!$AL$4:$AX$4,◆入力◆④「1個放水」計算!$AL$9:$AX$9),IF($U32="逆止弁",LOOKUP($I32,◆入力◆④「1個放水」計算!$AL$4:$AX$4,◆入力◆④「1個放水」計算!$AL$10:$AX$10),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E32" s="90">
        <f>IF($U32="仕切弁",LOOKUP($I32,◆入力◆④「1個放水」計算!$AL$15:$AX$15,◆入力◆④「1個放水」計算!$AL$20:$AX$20),IF($U32="逆止弁",LOOKUP($I32,◆入力◆④「1個放水」計算!$AL$15:$AX$15,◆入力◆④「1個放水」計算!$AL$21:$AX$21),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F32" s="90">
        <f>IF($U32="仕切弁",LOOKUP($I32,◆入力◆④「1個放水」計算!$AL$26:$AX$26,◆入力◆④「1個放水」計算!$AL$31:$AX$31),IF($U32="逆止弁",LOOKUP($I32,◆入力◆④「1個放水」計算!$AL$26:$AX$26,◆入力◆④「1個放水」計算!$AL$32:$AX$32),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G32" s="90">
        <f>IF($U32="仕切弁",LOOKUP($I32,◆入力◆④「1個放水」計算!$AL$37:$AX$37,◆入力◆④「1個放水」計算!$AL$42:$AX$42),IF($U32="逆止弁",LOOKUP($I32,◆入力◆④「1個放水」計算!$AL$37:$AX$37,◆入力◆④「1個放水」計算!$AL$43:$AX$43),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H32" s="90">
        <f>IF($U32="仕切弁",LOOKUP($I32,◆入力◆④「1個放水」計算!$AL$48:$AX$48,◆入力◆④「1個放水」計算!$AL$53:$AX$53),IF($U32="逆止弁",LOOKUP($I32,◆入力◆④「1個放水」計算!$AL$48:$AX$48,◆入力◆④「1個放水」計算!$AL$54:$AX$54),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I32" s="90">
        <f>IF($U32="仕切弁",LOOKUP($I32,◆入力◆④「1個放水」計算!$AL$59:$AX$59,◆入力◆④「1個放水」計算!$AL$65:$AX$65),IF($U32="逆止弁",LOOKUP($I32,◆入力◆④「1個放水」計算!$AL$59:$AX$59,◆入力◆④「1個放水」計算!$AL$66:$AX$66),IF($U32="水道メーター",LOOKUP($I32,◆入力◆④「1個放水」計算!$AL$70:$AQ$70,◆入力◆④「1個放水」計算!$AL$71:$AQ$71),IF($U32="止水栓",LOOKUP($I32,◆入力◆④「1個放水」計算!$AL$70:$AQ$70,◆入力◆④「1個放水」計算!$AL$72:$AQ$72),IF($U32="分水栓",LOOKUP($I32,◆入力◆④「1個放水」計算!$AL$70:$AQ$70,◆入力◆④「1個放水」計算!$AL$73:$AQ$73),IF($U32="巻き出しフレキ",LOOKUP($I32,◆入力◆④「1個放水」計算!$AL$70:$AQ$70,◆入力◆④「1個放水」計算!$AL$74:$AQ$74),IF($U32="",0,0)))))))</f>
        <v>0</v>
      </c>
      <c r="AJ32" s="115"/>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row>
    <row r="33" spans="6:70" x14ac:dyDescent="0.15">
      <c r="F33" s="235"/>
      <c r="G33" s="40"/>
      <c r="H33" s="149"/>
      <c r="I33" s="146" t="b">
        <f>IF(I32="",0,IF(I31="SGP-VB",LOOKUP(I32,◆入力◆④「1個放水」計算!$AL$4:$AX$4,◆入力◆④「1個放水」計算!$AL$5:$AX$5),IF(I31="SGP-PB",LOOKUP(I32,◆入力◆④「1個放水」計算!$AL$15:$AX$15,◆入力◆④「1個放水」計算!$AL$16:$AX$16),IF(I31="HIVP",LOOKUP(I32,◆入力◆④「1個放水」計算!$AL$26:$AX$26,◆入力◆④「1個放水」計算!$AL$27:$AX$27),IF(OR(I31="SGP",I31="フレキ"),LOOKUP(I32,◆入力◆④「1個放水」計算!$AL$37:$AX$37,◆入力◆④「1個放水」計算!$AL$38:$AX$38),IF(I31="SUS",LOOKUP(I32,◆入力◆④「1個放水」計算!$AL$48:$AX$48,◆入力◆④「1個放水」計算!$AL$49:$AX$49),IF(OR(I31="PE",I31="PP"),LOOKUP(I32,◆入力◆④「1個放水」計算!$AL$59:$AX$59,◆入力◆④「1個放水」計算!$AL$60:$AX$60))))))))</f>
        <v>0</v>
      </c>
      <c r="J33" s="121"/>
      <c r="K33" s="165"/>
      <c r="L33" s="98"/>
      <c r="M33" s="151"/>
      <c r="N33" s="93"/>
      <c r="O33" s="87">
        <f>IF(I32=0,0,"Ｔ分")</f>
        <v>0</v>
      </c>
      <c r="P33" s="152">
        <f>IF($F$55&gt;=ROW()-11,◆入力◆④「1個放水」計算!P33,0)</f>
        <v>0</v>
      </c>
      <c r="Q33" s="88">
        <f>IF(I32=0,0,IF(I31="SGP-VB",LOOKUP(I32,◆入力◆④「1個放水」計算!$AL$4:$AX$4,◆入力◆④「1個放水」計算!$AL$8:$AX$8),IF(I31="SGP-PB",LOOKUP(I32,◆入力◆④「1個放水」計算!$AL$15:$AX$15,◆入力◆④「1個放水」計算!$AL$19:$AX$19),IF(I31="HIVP",LOOKUP(I32,◆入力◆④「1個放水」計算!$AL$26:$AX$26,◆入力◆④「1個放水」計算!$AL$30:$AX$30),IF(OR(I31="SGP",I31="フレキ"),LOOKUP(I32,◆入力◆④「1個放水」計算!$AL$37:$AX$37,◆入力◆④「1個放水」計算!$AL$41:$AX$41),IF(I31="SUS",LOOKUP(I32,◆入力◆④「1個放水」計算!$AL$48:$AX$48,◆入力◆④「1個放水」計算!$AL$52:$AX$52),IF(OR(I31="PE",I31="PP"),LOOKUP(I32,◆入力◆④「1個放水」計算!$AL$59:$AX$59,◆入力◆④「1個放水」計算!$AL$64:$AX$64))))))))</f>
        <v>0</v>
      </c>
      <c r="R33" s="100">
        <f t="shared" si="0"/>
        <v>0</v>
      </c>
      <c r="S33" s="101"/>
      <c r="T33" s="92"/>
      <c r="U33" s="147">
        <f>IF($F$55&gt;=ROW()-11,◆入力◆④「1個放水」計算!U33,0)</f>
        <v>0</v>
      </c>
      <c r="V33" s="152">
        <f>IF($F$55&gt;=ROW()-11,◆入力◆④「1個放水」計算!V33,0)</f>
        <v>0</v>
      </c>
      <c r="W33" s="100">
        <f>IF($U33="Yスト",AC33,IF($I31="sgp-vb",AD33,IF($I31="sgp-pb",AE33,IF($I31="hivp",AF33,IF(OR($I31="sgp",$I31="フレキ"),AG33,IF($I31="sus",AH33,IF(OR($I31="PE",$I31="PP"),AI33,0)))))))</f>
        <v>0</v>
      </c>
      <c r="X33" s="100">
        <f t="shared" si="1"/>
        <v>0</v>
      </c>
      <c r="Y33" s="101"/>
      <c r="Z33" s="92">
        <f>ROUNDUP(L32*Y32,2)</f>
        <v>0</v>
      </c>
      <c r="AA33" s="40"/>
      <c r="AB33" s="76"/>
      <c r="AC33" s="90">
        <f>IF(U33="Yスト",IF(I31="SGP-VB",LOOKUP(I32,◆入力◆④「1個放水」計算!$AL$4:$AX$4,◆入力◆④「1個放水」計算!$AL$11:$AX$11),IF(I31="SGP-PB",LOOKUP(I32,◆入力◆④「1個放水」計算!$AL$15:$AX$15,◆入力◆④「1個放水」計算!$AL$22:$AX$22),IF(I31="HIVP",LOOKUP(I32,◆入力◆④「1個放水」計算!$AL$26:$AX$26,◆入力◆④「1個放水」計算!$AL$33:$AX$33),IF(OR(I31="SGP",I31="フレキ"),LOOKUP(I32,◆入力◆④「1個放水」計算!$AL$37:$AX$37,◆入力◆④「1個放水」計算!$AL$44:$AX$44),IF(I31="SUS",LOOKUP(I32,◆入力◆④「1個放水」計算!$AL$48:$AX$48,◆入力◆④「1個放水」計算!$AL$55:$AX$55),IF(OR(I31="PE",I31="PP"),LOOKUP(I32,◆入力◆④「1個放水」計算!$AL$59:$AX$59,◆入力◆④「1個放水」計算!$AL$67:$AX$67))))))),0)</f>
        <v>0</v>
      </c>
      <c r="AD33" s="90">
        <f>IF($U33="仕切弁",LOOKUP($I32,◆入力◆④「1個放水」計算!$AL$4:$AX$4,◆入力◆④「1個放水」計算!$AL$9:$AX$9),IF($U33="逆止弁",LOOKUP($I32,◆入力◆④「1個放水」計算!$AL$4:$AX$4,◆入力◆④「1個放水」計算!$AL$10:$AX$10),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E33" s="90">
        <f>IF($U33="仕切弁",LOOKUP($I32,◆入力◆④「1個放水」計算!$AL$15:$AX$15,◆入力◆④「1個放水」計算!$AL$20:$AX$20),IF($U33="逆止弁",LOOKUP($I32,◆入力◆④「1個放水」計算!$AL$15:$AX$15,◆入力◆④「1個放水」計算!$AL$21:$AX$21),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F33" s="90">
        <f>IF($U33="仕切弁",LOOKUP($I32,◆入力◆④「1個放水」計算!$AL$26:$AX$26,◆入力◆④「1個放水」計算!$AL$31:$AX$31),IF($U33="逆止弁",LOOKUP($I32,◆入力◆④「1個放水」計算!$AL$26:$AX$26,◆入力◆④「1個放水」計算!$AL$32:$AX$32),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G33" s="90">
        <f>IF($U33="仕切弁",LOOKUP($I32,◆入力◆④「1個放水」計算!$AL$37:$AX$37,◆入力◆④「1個放水」計算!$AL$42:$AX$42),IF($U33="逆止弁",LOOKUP($I32,◆入力◆④「1個放水」計算!$AL$37:$AX$37,◆入力◆④「1個放水」計算!$AL$43:$AX$43),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H33" s="90">
        <f>IF($U33="仕切弁",LOOKUP($I32,◆入力◆④「1個放水」計算!$AL$48:$AX$48,◆入力◆④「1個放水」計算!$AL$53:$AX$53),IF($U33="逆止弁",LOOKUP($I32,◆入力◆④「1個放水」計算!$AL$48:$AX$48,◆入力◆④「1個放水」計算!$AL$54:$AX$54),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I33" s="90">
        <f>IF($U33="仕切弁",LOOKUP($I32,◆入力◆④「1個放水」計算!$AL$59:$AX$59,◆入力◆④「1個放水」計算!$AL$65:$AX$65),IF($U33="逆止弁",LOOKUP($I32,◆入力◆④「1個放水」計算!$AL$59:$AX$59,◆入力◆④「1個放水」計算!$AL$66:$AX$66),IF($U33="水道メーター",LOOKUP($I32,◆入力◆④「1個放水」計算!$AL$70:$AQ$70,◆入力◆④「1個放水」計算!$AL$71:$AQ$71),IF($U33="止水栓",LOOKUP($I32,◆入力◆④「1個放水」計算!$AL$70:$AQ$70,◆入力◆④「1個放水」計算!$AL$72:$AQ$72),IF($U33="分水栓",LOOKUP($I32,◆入力◆④「1個放水」計算!$AL$70:$AQ$70,◆入力◆④「1個放水」計算!$AL$73:$AQ$73),IF($U33="巻き出しフレキ",LOOKUP($I32,◆入力◆④「1個放水」計算!$AL$70:$AQ$70,◆入力◆④「1個放水」計算!$AL$74:$AQ$74),IF($U33="",0,0)))))))</f>
        <v>0</v>
      </c>
      <c r="AJ33" s="115"/>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row>
    <row r="34" spans="6:70" x14ac:dyDescent="0.15">
      <c r="F34" s="235" t="s">
        <v>29</v>
      </c>
      <c r="G34" s="40"/>
      <c r="H34" s="132"/>
      <c r="I34" s="133">
        <f>IF($F$55&gt;=ROW()-9,◆入力◆④「1個放水」計算!I34,0)</f>
        <v>0</v>
      </c>
      <c r="J34" s="121"/>
      <c r="K34" s="164"/>
      <c r="L34" s="74"/>
      <c r="M34" s="142"/>
      <c r="N34" s="76"/>
      <c r="O34" s="77">
        <f>IF(I35=0,0,"E９０°")</f>
        <v>0</v>
      </c>
      <c r="P34" s="136">
        <f>IF($F$55&gt;=ROW()-9,◆入力◆④「1個放水」計算!P34,0)</f>
        <v>0</v>
      </c>
      <c r="Q34" s="78">
        <f>IF(I35=0,0,IF(I34="SGP-VB",LOOKUP(I35,◆入力◆④「1個放水」計算!$AL$4:$AX$4,◆入力◆④「1個放水」計算!$AL$6:$AX$6),IF(I34="SGP-PB",LOOKUP(I35,◆入力◆④「1個放水」計算!$AL$15:$AX$15,◆入力◆④「1個放水」計算!$AL$17:$AX$17),IF(I34="HIVP",LOOKUP(I35,◆入力◆④「1個放水」計算!$AL$26:$AX$26,◆入力◆④「1個放水」計算!$AL$28:$AX$28),IF(OR(I34="SGP",I34="フレキ"),LOOKUP(I35,◆入力◆④「1個放水」計算!$AL$37:$AX$37,◆入力◆④「1個放水」計算!$AL$39:$AX$39),IF(I34="SUS",LOOKUP(I35,◆入力◆④「1個放水」計算!$AL$48:$AX$48,◆入力◆④「1個放水」計算!$AL$50:$AX$50),IF(OR(I34="PE",I34="PP"),LOOKUP(I35,◆入力◆④「1個放水」計算!$AL$59:$AX$59,◆入力◆④「1個放水」計算!$AL$61:$AX$61))))))))</f>
        <v>0</v>
      </c>
      <c r="R34" s="79">
        <f t="shared" si="0"/>
        <v>0</v>
      </c>
      <c r="S34" s="80"/>
      <c r="T34" s="81">
        <v>0</v>
      </c>
      <c r="U34" s="137">
        <f>IF($F$55&gt;=ROW()-9,◆入力◆④「1個放水」計算!U34,0)</f>
        <v>0</v>
      </c>
      <c r="V34" s="138">
        <f>IF($F$55&gt;=ROW()-9,◆入力◆④「1個放水」計算!V34,0)</f>
        <v>0</v>
      </c>
      <c r="W34" s="82">
        <f>IF($U34="Yスト",AC34,IF($I34="sgp-vb",AD34,IF($I34="sgp-pb",AE34,IF($I34="hivp",AF34,IF(OR($I34="sgp",$I34="フレキ"),AG34,IF($I34="sus",AH34,IF(OR($I34="PE",$I34="PP"),AI34,0)))))))</f>
        <v>0</v>
      </c>
      <c r="X34" s="82">
        <f t="shared" si="1"/>
        <v>0</v>
      </c>
      <c r="Y34" s="83"/>
      <c r="Z34" s="84">
        <f>IF(AND($U34="電動弁",$V34=1),LOOKUP($K35,◆入力◆④「1個放水」計算!$AL$77:$BQ$77,◆入力◆④「1個放水」計算!$AL$78:$BQ$78),IF(AND($U35="電動弁",$V35=1),LOOKUP($K35,◆入力◆④「1個放水」計算!$AL$77:$BQ$77,◆入力◆④「1個放水」計算!$AL$78:$BQ$78),IF(AND($U36="電動弁",$V36=1),LOOKUP($K35,◆入力◆④「1個放水」計算!$AL$77:$BQ$77,◆入力◆④「1個放水」計算!$AL$78:$BQ$78),0)))</f>
        <v>0</v>
      </c>
      <c r="AA34" s="40"/>
      <c r="AB34" s="85"/>
      <c r="AC34" s="86">
        <f>IF(U34="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4" s="86">
        <f>IF($U34="仕切弁",LOOKUP($I35,◆入力◆④「1個放水」計算!$AL$4:$AX$4,◆入力◆④「1個放水」計算!$AL$9:$AX$9),IF($U34="逆止弁",LOOKUP($I35,◆入力◆④「1個放水」計算!$AL$4:$AX$4,◆入力◆④「1個放水」計算!$AL$10:$AX$10),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E34" s="86">
        <f>IF($U34="仕切弁",LOOKUP($I35,◆入力◆④「1個放水」計算!$AL$15:$AX$15,◆入力◆④「1個放水」計算!$AL$20:$AX$20),IF($U34="逆止弁",LOOKUP($I35,◆入力◆④「1個放水」計算!$AL$15:$AX$15,◆入力◆④「1個放水」計算!$AL$21:$AX$21),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F34" s="86">
        <f>IF($U34="仕切弁",LOOKUP($I35,◆入力◆④「1個放水」計算!$AL$26:$AX$26,◆入力◆④「1個放水」計算!$AL$31:$AX$31),IF($U34="逆止弁",LOOKUP($I35,◆入力◆④「1個放水」計算!$AL$26:$AX$26,◆入力◆④「1個放水」計算!$AL$32:$AX$32),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G34" s="86">
        <f>IF($U34="仕切弁",LOOKUP($I35,◆入力◆④「1個放水」計算!$AL$37:$AX$37,◆入力◆④「1個放水」計算!$AL$42:$AX$42),IF($U34="逆止弁",LOOKUP($I35,◆入力◆④「1個放水」計算!$AL$37:$AX$37,◆入力◆④「1個放水」計算!$AL$43:$AX$43),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H34" s="86">
        <f>IF($U34="仕切弁",LOOKUP($I35,◆入力◆④「1個放水」計算!$AL$48:$AX$48,◆入力◆④「1個放水」計算!$AL$53:$AX$53),IF($U34="逆止弁",LOOKUP($I35,◆入力◆④「1個放水」計算!$AL$48:$AX$48,◆入力◆④「1個放水」計算!$AL$54:$AX$54),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I34" s="86">
        <f>IF($U34="仕切弁",LOOKUP($I35,◆入力◆④「1個放水」計算!$AL$59:$AX$59,◆入力◆④「1個放水」計算!$AL$65:$AX$65),IF($U34="逆止弁",LOOKUP($I35,◆入力◆④「1個放水」計算!$AL$59:$AX$59,◆入力◆④「1個放水」計算!$AL$66:$AX$66),IF($U34="水道メーター",LOOKUP($I35,◆入力◆④「1個放水」計算!$AL$70:$AQ$70,◆入力◆④「1個放水」計算!$AL$71:$AQ$71),IF($U34="止水栓",LOOKUP($I35,◆入力◆④「1個放水」計算!$AL$70:$AQ$70,◆入力◆④「1個放水」計算!$AL$72:$AQ$72),IF($U34="分水栓",LOOKUP($I35,◆入力◆④「1個放水」計算!$AL$70:$AQ$70,◆入力◆④「1個放水」計算!$AL$73:$AQ$73),IF($U34="巻き出しフレキ",LOOKUP($I35,◆入力◆④「1個放水」計算!$AL$70:$AQ$70,◆入力◆④「1個放水」計算!$AL$74:$AQ$74),IF($U34="",0,0)))))))</f>
        <v>0</v>
      </c>
      <c r="AJ34" s="115"/>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row>
    <row r="35" spans="6:70" x14ac:dyDescent="0.15">
      <c r="F35" s="235"/>
      <c r="G35" s="40"/>
      <c r="H35" s="149">
        <f>IF($F$55&gt;=ROW()-10,◆入力◆④「1個放水」計算!H35,0)</f>
        <v>0</v>
      </c>
      <c r="I35" s="140">
        <f>IF($F$55&gt;=ROW()-10,◆入力◆④「1個放水」計算!I35,0)</f>
        <v>0</v>
      </c>
      <c r="J35" s="121"/>
      <c r="K35" s="165">
        <f>IF($F$55&gt;=ROW()-10,◆入力◆④「1個放水」計算!K35,0)</f>
        <v>0</v>
      </c>
      <c r="L35" s="74">
        <f>IF(I35=0,0,IF(I35&gt;=65,K35^1.85*0.012/I36^4.87,ROUNDUP((0.0126+(0.01739-(0.1087*I36/100))/SQRT(4*K35/(60000*PI()*(I36/100)^2)))*(1/(I36/100))*((4*K35/(60000*PI()*(I36/100)^2))^2/(2*9.8)),4)))</f>
        <v>0</v>
      </c>
      <c r="M35" s="142">
        <f>IF($F$55&gt;=ROW()-10,◆入力◆④「1個放水」計算!M35,0)</f>
        <v>0</v>
      </c>
      <c r="N35" s="84">
        <f>ROUNDUP(L35*M35,2)</f>
        <v>0</v>
      </c>
      <c r="O35" s="87">
        <f>IF(I35=0,0,"Ｔ直")</f>
        <v>0</v>
      </c>
      <c r="P35" s="138">
        <f>IF($F$55&gt;=ROW()-10,◆入力◆④「1個放水」計算!P35,0)</f>
        <v>0</v>
      </c>
      <c r="Q35" s="88">
        <f>IF(I35=0,0,IF(I34="SGP-VB",LOOKUP(I35,◆入力◆④「1個放水」計算!$AL$4:$AX$4,◆入力◆④「1個放水」計算!$AL$7:$AX$7),IF(I34="SGP-PB",LOOKUP(I35,◆入力◆④「1個放水」計算!$AL$15:$AX$15,◆入力◆④「1個放水」計算!$AL$18:$AX$18),IF(I34="HIVP",LOOKUP(I35,◆入力◆④「1個放水」計算!$AL$26:$AX$26,◆入力◆④「1個放水」計算!$AL$29:$AX$29),IF(OR(I34="SGP",I34="フレキ"),LOOKUP(I35,◆入力◆④「1個放水」計算!$AL$37:$AX$37,◆入力◆④「1個放水」計算!$AL$40:$AX$40),IF(I34="SUS",LOOKUP(I35,◆入力◆④「1個放水」計算!$AL$48:$AX$48,◆入力◆④「1個放水」計算!$AL$51:$AX$51),IF(OR(I34="PE",I34="PP"),LOOKUP(I35,◆入力◆④「1個放水」計算!$AL$59:$AX$59,◆入力◆④「1個放水」計算!$AL$63:$AX$63))))))))</f>
        <v>0</v>
      </c>
      <c r="R35" s="82">
        <f t="shared" si="0"/>
        <v>0</v>
      </c>
      <c r="S35" s="83">
        <f>R34+R35+R36</f>
        <v>0</v>
      </c>
      <c r="T35" s="84">
        <f>ROUNDUP(L35*S35,2)</f>
        <v>0</v>
      </c>
      <c r="U35" s="143">
        <f>IF($F$55&gt;=ROW()-10,◆入力◆④「1個放水」計算!U35,0)</f>
        <v>0</v>
      </c>
      <c r="V35" s="138">
        <f>IF($F$55&gt;=ROW()-10,◆入力◆④「1個放水」計算!V35,0)</f>
        <v>0</v>
      </c>
      <c r="W35" s="82">
        <f>IF($U35="Yスト",AC35,IF($I34="sgp-vb",AD35,IF($I34="sgp-pb",AE35,IF($I34="hivp",AF35,IF(OR($I34="sgp",$I34="フレキ"),AG35,IF($I34="sus",AH35,IF(OR($I34="PE",$I34="PP"),AI35,0)))))))</f>
        <v>0</v>
      </c>
      <c r="X35" s="82">
        <f t="shared" si="1"/>
        <v>0</v>
      </c>
      <c r="Y35" s="83">
        <f>SUM(X34:X36)</f>
        <v>0</v>
      </c>
      <c r="Z35" s="84"/>
      <c r="AA35" s="40"/>
      <c r="AB35" s="84">
        <f>N35+T35+Z34+Z35+Z36</f>
        <v>0</v>
      </c>
      <c r="AC35" s="89">
        <f>IF(U35="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5" s="90">
        <f>IF($U35="仕切弁",LOOKUP($I35,◆入力◆④「1個放水」計算!$AL$4:$AX$4,◆入力◆④「1個放水」計算!$AL$9:$AX$9),IF($U35="逆止弁",LOOKUP($I35,◆入力◆④「1個放水」計算!$AL$4:$AX$4,◆入力◆④「1個放水」計算!$AL$10:$AX$10),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E35" s="90">
        <f>IF($U35="仕切弁",LOOKUP($I35,◆入力◆④「1個放水」計算!$AL$15:$AX$15,◆入力◆④「1個放水」計算!$AL$20:$AX$20),IF($U35="逆止弁",LOOKUP($I35,◆入力◆④「1個放水」計算!$AL$15:$AX$15,◆入力◆④「1個放水」計算!$AL$21:$AX$21),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F35" s="90">
        <f>IF($U35="仕切弁",LOOKUP($I35,◆入力◆④「1個放水」計算!$AL$26:$AX$26,◆入力◆④「1個放水」計算!$AL$31:$AX$31),IF($U35="逆止弁",LOOKUP($I35,◆入力◆④「1個放水」計算!$AL$26:$AX$26,◆入力◆④「1個放水」計算!$AL$32:$AX$32),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G35" s="90">
        <f>IF($U35="仕切弁",LOOKUP($I35,◆入力◆④「1個放水」計算!$AL$37:$AX$37,◆入力◆④「1個放水」計算!$AL$42:$AX$42),IF($U35="逆止弁",LOOKUP($I35,◆入力◆④「1個放水」計算!$AL$37:$AX$37,◆入力◆④「1個放水」計算!$AL$43:$AX$43),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H35" s="90">
        <f>IF($U35="仕切弁",LOOKUP($I35,◆入力◆④「1個放水」計算!$AL$48:$AX$48,◆入力◆④「1個放水」計算!$AL$53:$AX$53),IF($U35="逆止弁",LOOKUP($I35,◆入力◆④「1個放水」計算!$AL$48:$AX$48,◆入力◆④「1個放水」計算!$AL$54:$AX$54),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I35" s="90">
        <f>IF($U35="仕切弁",LOOKUP($I35,◆入力◆④「1個放水」計算!$AL$59:$AX$59,◆入力◆④「1個放水」計算!$AL$65:$AX$65),IF($U35="逆止弁",LOOKUP($I35,◆入力◆④「1個放水」計算!$AL$59:$AX$59,◆入力◆④「1個放水」計算!$AL$66:$AX$66),IF($U35="水道メーター",LOOKUP($I35,◆入力◆④「1個放水」計算!$AL$70:$AQ$70,◆入力◆④「1個放水」計算!$AL$71:$AQ$71),IF($U35="止水栓",LOOKUP($I35,◆入力◆④「1個放水」計算!$AL$70:$AQ$70,◆入力◆④「1個放水」計算!$AL$72:$AQ$72),IF($U35="分水栓",LOOKUP($I35,◆入力◆④「1個放水」計算!$AL$70:$AQ$70,◆入力◆④「1個放水」計算!$AL$73:$AQ$73),IF($U35="巻き出しフレキ",LOOKUP($I35,◆入力◆④「1個放水」計算!$AL$70:$AQ$70,◆入力◆④「1個放水」計算!$AL$74:$AQ$74),IF($U35="",0,0)))))))</f>
        <v>0</v>
      </c>
      <c r="AJ35" s="115"/>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row>
    <row r="36" spans="6:70" x14ac:dyDescent="0.15">
      <c r="F36" s="235"/>
      <c r="G36" s="40"/>
      <c r="H36" s="145"/>
      <c r="I36" s="146" t="b">
        <f>IF(I35="",0,IF(I34="SGP-VB",LOOKUP(I35,◆入力◆④「1個放水」計算!$AL$4:$AX$4,◆入力◆④「1個放水」計算!$AL$5:$AX$5),IF(I34="SGP-PB",LOOKUP(I35,◆入力◆④「1個放水」計算!$AL$15:$AX$15,◆入力◆④「1個放水」計算!$AL$16:$AX$16),IF(I34="HIVP",LOOKUP(I35,◆入力◆④「1個放水」計算!$AL$26:$AX$26,◆入力◆④「1個放水」計算!$AL$27:$AX$27),IF(OR(I34="SGP",I34="フレキ"),LOOKUP(I35,◆入力◆④「1個放水」計算!$AL$37:$AX$37,◆入力◆④「1個放水」計算!$AL$38:$AX$38),IF(I34="SUS",LOOKUP(I35,◆入力◆④「1個放水」計算!$AL$48:$AX$48,◆入力◆④「1個放水」計算!$AL$49:$AX$49),IF(OR(I34="PE",I34="PP"),LOOKUP(I35,◆入力◆④「1個放水」計算!$AL$59:$AX$59,◆入力◆④「1個放水」計算!$AL$60:$AX$60))))))))</f>
        <v>0</v>
      </c>
      <c r="J36" s="121"/>
      <c r="K36" s="166"/>
      <c r="L36" s="74"/>
      <c r="M36" s="142"/>
      <c r="N36" s="76"/>
      <c r="O36" s="87">
        <f>IF(I35=0,0,"Ｔ分")</f>
        <v>0</v>
      </c>
      <c r="P36" s="152">
        <f>IF($F$55&gt;=ROW()-11,◆入力◆④「1個放水」計算!P36,0)</f>
        <v>0</v>
      </c>
      <c r="Q36" s="88">
        <f>IF(I35=0,0,IF(I34="SGP-VB",LOOKUP(I35,◆入力◆④「1個放水」計算!$AL$4:$AX$4,◆入力◆④「1個放水」計算!$AL$8:$AX$8),IF(I34="SGP-PB",LOOKUP(I35,◆入力◆④「1個放水」計算!$AL$15:$AX$15,◆入力◆④「1個放水」計算!$AL$19:$AX$19),IF(I34="HIVP",LOOKUP(I35,◆入力◆④「1個放水」計算!$AL$26:$AX$26,◆入力◆④「1個放水」計算!$AL$30:$AX$30),IF(OR(I34="SGP",I34="フレキ"),LOOKUP(I35,◆入力◆④「1個放水」計算!$AL$37:$AX$37,◆入力◆④「1個放水」計算!$AL$41:$AX$41),IF(I34="SUS",LOOKUP(I35,◆入力◆④「1個放水」計算!$AL$48:$AX$48,◆入力◆④「1個放水」計算!$AL$52:$AX$52),IF(OR(I34="PE",I34="PP"),LOOKUP(I35,◆入力◆④「1個放水」計算!$AL$59:$AX$59,◆入力◆④「1個放水」計算!$AL$64:$AX$64))))))))</f>
        <v>0</v>
      </c>
      <c r="R36" s="100">
        <f t="shared" si="0"/>
        <v>0</v>
      </c>
      <c r="S36" s="101"/>
      <c r="T36" s="92"/>
      <c r="U36" s="147">
        <f>IF($F$55&gt;=ROW()-11,◆入力◆④「1個放水」計算!U36,0)</f>
        <v>0</v>
      </c>
      <c r="V36" s="138">
        <f>IF($F$55&gt;=ROW()-11,◆入力◆④「1個放水」計算!V36,0)</f>
        <v>0</v>
      </c>
      <c r="W36" s="100">
        <f>IF($U36="Yスト",AC36,IF($I34="sgp-vb",AD36,IF($I34="sgp-pb",AE36,IF($I34="hivp",AF36,IF(OR($I34="sgp",$I34="フレキ"),AG36,IF($I34="sus",AH36,IF(OR($I34="PE",$I34="PP"),AI36,0)))))))</f>
        <v>0</v>
      </c>
      <c r="X36" s="82">
        <f t="shared" si="1"/>
        <v>0</v>
      </c>
      <c r="Y36" s="83"/>
      <c r="Z36" s="92">
        <f>ROUNDUP(L35*Y35,2)</f>
        <v>0</v>
      </c>
      <c r="AA36" s="40"/>
      <c r="AB36" s="93"/>
      <c r="AC36" s="90">
        <f>IF(U36="Yスト",IF(I34="SGP-VB",LOOKUP(I35,◆入力◆④「1個放水」計算!$AL$4:$AX$4,◆入力◆④「1個放水」計算!$AL$11:$AX$11),IF(I34="SGP-PB",LOOKUP(I35,◆入力◆④「1個放水」計算!$AL$15:$AX$15,◆入力◆④「1個放水」計算!$AL$22:$AX$22),IF(I34="HIVP",LOOKUP(I35,◆入力◆④「1個放水」計算!$AL$26:$AX$26,◆入力◆④「1個放水」計算!$AL$33:$AX$33),IF(OR(I34="SGP",I34="フレキ"),LOOKUP(I35,◆入力◆④「1個放水」計算!$AL$37:$AX$37,◆入力◆④「1個放水」計算!$AL$44:$AX$44),IF(I34="SUS",LOOKUP(I35,◆入力◆④「1個放水」計算!$AL$48:$AX$48,◆入力◆④「1個放水」計算!$AL$55:$AX$55),IF(OR(I34="PE",I34="PP"),LOOKUP(I35,◆入力◆④「1個放水」計算!$AL$59:$AX$59,◆入力◆④「1個放水」計算!$AL$67:$AX$67))))))),0)</f>
        <v>0</v>
      </c>
      <c r="AD36" s="90">
        <f>IF($U36="仕切弁",LOOKUP($I35,◆入力◆④「1個放水」計算!$AL$4:$AX$4,◆入力◆④「1個放水」計算!$AL$9:$AX$9),IF($U36="逆止弁",LOOKUP($I35,◆入力◆④「1個放水」計算!$AL$4:$AX$4,◆入力◆④「1個放水」計算!$AL$10:$AX$10),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E36" s="90">
        <f>IF($U36="仕切弁",LOOKUP($I35,◆入力◆④「1個放水」計算!$AL$15:$AX$15,◆入力◆④「1個放水」計算!$AL$20:$AX$20),IF($U36="逆止弁",LOOKUP($I35,◆入力◆④「1個放水」計算!$AL$15:$AX$15,◆入力◆④「1個放水」計算!$AL$21:$AX$21),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F36" s="90">
        <f>IF($U36="仕切弁",LOOKUP($I35,◆入力◆④「1個放水」計算!$AL$26:$AX$26,◆入力◆④「1個放水」計算!$AL$31:$AX$31),IF($U36="逆止弁",LOOKUP($I35,◆入力◆④「1個放水」計算!$AL$26:$AX$26,◆入力◆④「1個放水」計算!$AL$32:$AX$32),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G36" s="90">
        <f>IF($U36="仕切弁",LOOKUP($I35,◆入力◆④「1個放水」計算!$AL$37:$AX$37,◆入力◆④「1個放水」計算!$AL$42:$AX$42),IF($U36="逆止弁",LOOKUP($I35,◆入力◆④「1個放水」計算!$AL$37:$AX$37,◆入力◆④「1個放水」計算!$AL$43:$AX$43),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H36" s="90">
        <f>IF($U36="仕切弁",LOOKUP($I35,◆入力◆④「1個放水」計算!$AL$48:$AX$48,◆入力◆④「1個放水」計算!$AL$53:$AX$53),IF($U36="逆止弁",LOOKUP($I35,◆入力◆④「1個放水」計算!$AL$48:$AX$48,◆入力◆④「1個放水」計算!$AL$54:$AX$54),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I36" s="90">
        <f>IF($U36="仕切弁",LOOKUP($I35,◆入力◆④「1個放水」計算!$AL$59:$AX$59,◆入力◆④「1個放水」計算!$AL$65:$AX$65),IF($U36="逆止弁",LOOKUP($I35,◆入力◆④「1個放水」計算!$AL$59:$AX$59,◆入力◆④「1個放水」計算!$AL$66:$AX$66),IF($U36="水道メーター",LOOKUP($I35,◆入力◆④「1個放水」計算!$AL$70:$AQ$70,◆入力◆④「1個放水」計算!$AL$71:$AQ$71),IF($U36="止水栓",LOOKUP($I35,◆入力◆④「1個放水」計算!$AL$70:$AQ$70,◆入力◆④「1個放水」計算!$AL$72:$AQ$72),IF($U36="分水栓",LOOKUP($I35,◆入力◆④「1個放水」計算!$AL$70:$AQ$70,◆入力◆④「1個放水」計算!$AL$73:$AQ$73),IF($U36="巻き出しフレキ",LOOKUP($I35,◆入力◆④「1個放水」計算!$AL$70:$AQ$70,◆入力◆④「1個放水」計算!$AL$74:$AQ$74),IF($U36="",0,0)))))))</f>
        <v>0</v>
      </c>
      <c r="AJ36" s="115"/>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row>
    <row r="37" spans="6:70" x14ac:dyDescent="0.15">
      <c r="F37" s="235" t="s">
        <v>30</v>
      </c>
      <c r="G37" s="40"/>
      <c r="H37" s="154"/>
      <c r="I37" s="133">
        <f>IF($F$55&gt;=ROW()-9,◆入力◆④「1個放水」計算!I37,0)</f>
        <v>0</v>
      </c>
      <c r="J37" s="121"/>
      <c r="K37" s="165"/>
      <c r="L37" s="95"/>
      <c r="M37" s="135"/>
      <c r="N37" s="85"/>
      <c r="O37" s="77">
        <f>IF(I38=0,0,"E９０°")</f>
        <v>0</v>
      </c>
      <c r="P37" s="136">
        <f>IF($F$55&gt;=ROW()-9,◆入力◆④「1個放水」計算!P37,0)</f>
        <v>0</v>
      </c>
      <c r="Q37" s="78">
        <f>IF(I38=0,0,IF(I37="SGP-VB",LOOKUP(I38,◆入力◆④「1個放水」計算!$AL$4:$AX$4,◆入力◆④「1個放水」計算!$AL$6:$AX$6),IF(I37="SGP-PB",LOOKUP(I38,◆入力◆④「1個放水」計算!$AL$15:$AX$15,◆入力◆④「1個放水」計算!$AL$17:$AX$17),IF(I37="HIVP",LOOKUP(I38,◆入力◆④「1個放水」計算!$AL$26:$AX$26,◆入力◆④「1個放水」計算!$AL$28:$AX$28),IF(OR(I37="SGP",I37="フレキ"),LOOKUP(I38,◆入力◆④「1個放水」計算!$AL$37:$AX$37,◆入力◆④「1個放水」計算!$AL$39:$AX$39),IF(I37="SUS",LOOKUP(I38,◆入力◆④「1個放水」計算!$AL$48:$AX$48,◆入力◆④「1個放水」計算!$AL$50:$AX$50),IF(OR(I37="PE",I37="PP"),LOOKUP(I38,◆入力◆④「1個放水」計算!$AL$59:$AX$59,◆入力◆④「1個放水」計算!$AL$61:$AX$61))))))))</f>
        <v>0</v>
      </c>
      <c r="R37" s="79">
        <f t="shared" si="0"/>
        <v>0</v>
      </c>
      <c r="S37" s="80"/>
      <c r="T37" s="81">
        <v>0</v>
      </c>
      <c r="U37" s="137">
        <f>IF($F$55&gt;=ROW()-9,◆入力◆④「1個放水」計算!U37,0)</f>
        <v>0</v>
      </c>
      <c r="V37" s="136">
        <f>IF($F$55&gt;=ROW()-9,◆入力◆④「1個放水」計算!V37,0)</f>
        <v>0</v>
      </c>
      <c r="W37" s="82">
        <f>IF($U37="Yスト",AC37,IF($I37="sgp-vb",AD37,IF($I37="sgp-pb",AE37,IF($I37="hivp",AF37,IF(OR($I37="sgp",$I37="フレキ"),AG37,IF($I37="sus",AH37,IF(OR($I37="PE",$I37="PP"),AI37,0)))))))</f>
        <v>0</v>
      </c>
      <c r="X37" s="79">
        <f t="shared" si="1"/>
        <v>0</v>
      </c>
      <c r="Y37" s="80"/>
      <c r="Z37" s="84">
        <f>IF(AND($U37="電動弁",$V37=1),LOOKUP($K38,◆入力◆④「1個放水」計算!$AL$77:$BQ$77,◆入力◆④「1個放水」計算!$AL$78:$BQ$78),IF(AND($U38="電動弁",$V38=1),LOOKUP($K38,◆入力◆④「1個放水」計算!$AL$77:$BQ$77,◆入力◆④「1個放水」計算!$AL$78:$BQ$78),IF(AND($U39="電動弁",$V39=1),LOOKUP($K38,◆入力◆④「1個放水」計算!$AL$77:$BQ$77,◆入力◆④「1個放水」計算!$AL$78:$BQ$78),0)))</f>
        <v>0</v>
      </c>
      <c r="AA37" s="40"/>
      <c r="AB37" s="76"/>
      <c r="AC37" s="86">
        <f>IF(U37="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7" s="86">
        <f>IF($U37="仕切弁",LOOKUP($I38,◆入力◆④「1個放水」計算!$AL$4:$AX$4,◆入力◆④「1個放水」計算!$AL$9:$AX$9),IF($U37="逆止弁",LOOKUP($I38,◆入力◆④「1個放水」計算!$AL$4:$AX$4,◆入力◆④「1個放水」計算!$AL$10:$AX$10),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E37" s="86">
        <f>IF($U37="仕切弁",LOOKUP($I38,◆入力◆④「1個放水」計算!$AL$15:$AX$15,◆入力◆④「1個放水」計算!$AL$20:$AX$20),IF($U37="逆止弁",LOOKUP($I38,◆入力◆④「1個放水」計算!$AL$15:$AX$15,◆入力◆④「1個放水」計算!$AL$21:$AX$21),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F37" s="86">
        <f>IF($U37="仕切弁",LOOKUP($I38,◆入力◆④「1個放水」計算!$AL$26:$AX$26,◆入力◆④「1個放水」計算!$AL$31:$AX$31),IF($U37="逆止弁",LOOKUP($I38,◆入力◆④「1個放水」計算!$AL$26:$AX$26,◆入力◆④「1個放水」計算!$AL$32:$AX$32),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G37" s="86">
        <f>IF($U37="仕切弁",LOOKUP($I38,◆入力◆④「1個放水」計算!$AL$37:$AX$37,◆入力◆④「1個放水」計算!$AL$42:$AX$42),IF($U37="逆止弁",LOOKUP($I38,◆入力◆④「1個放水」計算!$AL$37:$AX$37,◆入力◆④「1個放水」計算!$AL$43:$AX$43),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H37" s="86">
        <f>IF($U37="仕切弁",LOOKUP($I38,◆入力◆④「1個放水」計算!$AL$48:$AX$48,◆入力◆④「1個放水」計算!$AL$53:$AX$53),IF($U37="逆止弁",LOOKUP($I38,◆入力◆④「1個放水」計算!$AL$48:$AX$48,◆入力◆④「1個放水」計算!$AL$54:$AX$54),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I37" s="86">
        <f>IF($U37="仕切弁",LOOKUP($I38,◆入力◆④「1個放水」計算!$AL$59:$AX$59,◆入力◆④「1個放水」計算!$AL$65:$AX$65),IF($U37="逆止弁",LOOKUP($I38,◆入力◆④「1個放水」計算!$AL$59:$AX$59,◆入力◆④「1個放水」計算!$AL$66:$AX$66),IF($U37="水道メーター",LOOKUP($I38,◆入力◆④「1個放水」計算!$AL$70:$AQ$70,◆入力◆④「1個放水」計算!$AL$71:$AQ$71),IF($U37="止水栓",LOOKUP($I38,◆入力◆④「1個放水」計算!$AL$70:$AQ$70,◆入力◆④「1個放水」計算!$AL$72:$AQ$72),IF($U37="分水栓",LOOKUP($I38,◆入力◆④「1個放水」計算!$AL$70:$AQ$70,◆入力◆④「1個放水」計算!$AL$73:$AQ$73),IF($U37="巻き出しフレキ",LOOKUP($I38,◆入力◆④「1個放水」計算!$AL$70:$AQ$70,◆入力◆④「1個放水」計算!$AL$74:$AQ$74),IF($U37="",0,0)))))))</f>
        <v>0</v>
      </c>
      <c r="AJ37" s="115"/>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row>
    <row r="38" spans="6:70" x14ac:dyDescent="0.15">
      <c r="F38" s="235"/>
      <c r="G38" s="40"/>
      <c r="H38" s="149">
        <f>IF($F$55&gt;=ROW()-10,◆入力◆④「1個放水」計算!H38,0)</f>
        <v>0</v>
      </c>
      <c r="I38" s="140">
        <f>IF($F$55&gt;=ROW()-10,◆入力◆④「1個放水」計算!I38,0)</f>
        <v>0</v>
      </c>
      <c r="J38" s="121"/>
      <c r="K38" s="165">
        <f>IF($F$55&gt;=ROW()-10,◆入力◆④「1個放水」計算!K38,0)</f>
        <v>0</v>
      </c>
      <c r="L38" s="74">
        <f>IF(I38=0,0,IF(I38&gt;=65,K38^1.85*0.012/I39^4.87,ROUNDUP((0.0126+(0.01739-(0.1087*I39/100))/SQRT(4*K38/(60000*PI()*(I39/100)^2)))*(1/(I39/100))*((4*K38/(60000*PI()*(I39/100)^2))^2/(2*9.8)),4)))</f>
        <v>0</v>
      </c>
      <c r="M38" s="142">
        <f>IF($F$55&gt;=ROW()-10,◆入力◆④「1個放水」計算!M38,0)</f>
        <v>0</v>
      </c>
      <c r="N38" s="84">
        <f>ROUNDUP(L38*M38,2)</f>
        <v>0</v>
      </c>
      <c r="O38" s="87">
        <f>IF(I38=0,0,"Ｔ直")</f>
        <v>0</v>
      </c>
      <c r="P38" s="138">
        <f>IF($F$55&gt;=ROW()-10,◆入力◆④「1個放水」計算!P38,0)</f>
        <v>0</v>
      </c>
      <c r="Q38" s="88">
        <f>IF(I38=0,0,IF(I37="SGP-VB",LOOKUP(I38,◆入力◆④「1個放水」計算!$AL$4:$AX$4,◆入力◆④「1個放水」計算!$AL$7:$AX$7),IF(I37="SGP-PB",LOOKUP(I38,◆入力◆④「1個放水」計算!$AL$15:$AX$15,◆入力◆④「1個放水」計算!$AL$18:$AX$18),IF(I37="HIVP",LOOKUP(I38,◆入力◆④「1個放水」計算!$AL$26:$AX$26,◆入力◆④「1個放水」計算!$AL$29:$AX$29),IF(OR(I37="SGP",I37="フレキ"),LOOKUP(I38,◆入力◆④「1個放水」計算!$AL$37:$AX$37,◆入力◆④「1個放水」計算!$AL$40:$AX$40),IF(I37="SUS",LOOKUP(I38,◆入力◆④「1個放水」計算!$AL$48:$AX$48,◆入力◆④「1個放水」計算!$AL$51:$AX$51),IF(OR(I37="PE",I37="PP"),LOOKUP(I38,◆入力◆④「1個放水」計算!$AL$59:$AX$59,◆入力◆④「1個放水」計算!$AL$63:$AX$63))))))))</f>
        <v>0</v>
      </c>
      <c r="R38" s="82">
        <f t="shared" si="0"/>
        <v>0</v>
      </c>
      <c r="S38" s="83">
        <f>R37+R38+R39</f>
        <v>0</v>
      </c>
      <c r="T38" s="84">
        <f>ROUNDUP(L38*S38,2)</f>
        <v>0</v>
      </c>
      <c r="U38" s="143">
        <f>IF($F$55&gt;=ROW()-10,◆入力◆④「1個放水」計算!U38,0)</f>
        <v>0</v>
      </c>
      <c r="V38" s="138">
        <f>IF($F$55&gt;=ROW()-10,◆入力◆④「1個放水」計算!V38,0)</f>
        <v>0</v>
      </c>
      <c r="W38" s="82">
        <f>IF($U38="Yスト",AC38,IF($I37="sgp-vb",AD38,IF($I37="sgp-pb",AE38,IF($I37="hivp",AF38,IF(OR($I37="sgp",$I37="フレキ"),AG38,IF($I37="sus",AH38,IF(OR($I37="PE",$I37="PP"),AI38,0)))))))</f>
        <v>0</v>
      </c>
      <c r="X38" s="82">
        <f t="shared" si="1"/>
        <v>0</v>
      </c>
      <c r="Y38" s="83">
        <f>SUM(X37:X39)</f>
        <v>0</v>
      </c>
      <c r="Z38" s="84"/>
      <c r="AA38" s="40"/>
      <c r="AB38" s="84">
        <f>N38+T38+Z37+Z38+Z39</f>
        <v>0</v>
      </c>
      <c r="AC38" s="89">
        <f>IF(U38="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8" s="90">
        <f>IF($U38="仕切弁",LOOKUP($I38,◆入力◆④「1個放水」計算!$AL$4:$AX$4,◆入力◆④「1個放水」計算!$AL$9:$AX$9),IF($U38="逆止弁",LOOKUP($I38,◆入力◆④「1個放水」計算!$AL$4:$AX$4,◆入力◆④「1個放水」計算!$AL$10:$AX$10),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E38" s="90">
        <f>IF($U38="仕切弁",LOOKUP($I38,◆入力◆④「1個放水」計算!$AL$15:$AX$15,◆入力◆④「1個放水」計算!$AL$20:$AX$20),IF($U38="逆止弁",LOOKUP($I38,◆入力◆④「1個放水」計算!$AL$15:$AX$15,◆入力◆④「1個放水」計算!$AL$21:$AX$21),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F38" s="90">
        <f>IF($U38="仕切弁",LOOKUP($I38,◆入力◆④「1個放水」計算!$AL$26:$AX$26,◆入力◆④「1個放水」計算!$AL$31:$AX$31),IF($U38="逆止弁",LOOKUP($I38,◆入力◆④「1個放水」計算!$AL$26:$AX$26,◆入力◆④「1個放水」計算!$AL$32:$AX$32),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G38" s="90">
        <f>IF($U38="仕切弁",LOOKUP($I38,◆入力◆④「1個放水」計算!$AL$37:$AX$37,◆入力◆④「1個放水」計算!$AL$42:$AX$42),IF($U38="逆止弁",LOOKUP($I38,◆入力◆④「1個放水」計算!$AL$37:$AX$37,◆入力◆④「1個放水」計算!$AL$43:$AX$43),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H38" s="90">
        <f>IF($U38="仕切弁",LOOKUP($I38,◆入力◆④「1個放水」計算!$AL$48:$AX$48,◆入力◆④「1個放水」計算!$AL$53:$AX$53),IF($U38="逆止弁",LOOKUP($I38,◆入力◆④「1個放水」計算!$AL$48:$AX$48,◆入力◆④「1個放水」計算!$AL$54:$AX$54),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I38" s="90">
        <f>IF($U38="仕切弁",LOOKUP($I38,◆入力◆④「1個放水」計算!$AL$59:$AX$59,◆入力◆④「1個放水」計算!$AL$65:$AX$65),IF($U38="逆止弁",LOOKUP($I38,◆入力◆④「1個放水」計算!$AL$59:$AX$59,◆入力◆④「1個放水」計算!$AL$66:$AX$66),IF($U38="水道メーター",LOOKUP($I38,◆入力◆④「1個放水」計算!$AL$70:$AQ$70,◆入力◆④「1個放水」計算!$AL$71:$AQ$71),IF($U38="止水栓",LOOKUP($I38,◆入力◆④「1個放水」計算!$AL$70:$AQ$70,◆入力◆④「1個放水」計算!$AL$72:$AQ$72),IF($U38="分水栓",LOOKUP($I38,◆入力◆④「1個放水」計算!$AL$70:$AQ$70,◆入力◆④「1個放水」計算!$AL$73:$AQ$73),IF($U38="巻き出しフレキ",LOOKUP($I38,◆入力◆④「1個放水」計算!$AL$70:$AQ$70,◆入力◆④「1個放水」計算!$AL$74:$AQ$74),IF($U38="",0,0)))))))</f>
        <v>0</v>
      </c>
      <c r="AJ38" s="115"/>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row>
    <row r="39" spans="6:70" x14ac:dyDescent="0.15">
      <c r="F39" s="235"/>
      <c r="G39" s="40"/>
      <c r="H39" s="149"/>
      <c r="I39" s="146" t="b">
        <f>IF(I38="",0,IF(I37="SGP-VB",LOOKUP(I38,◆入力◆④「1個放水」計算!$AL$4:$AX$4,◆入力◆④「1個放水」計算!$AL$5:$AX$5),IF(I37="SGP-PB",LOOKUP(I38,◆入力◆④「1個放水」計算!$AL$15:$AX$15,◆入力◆④「1個放水」計算!$AL$16:$AX$16),IF(I37="HIVP",LOOKUP(I38,◆入力◆④「1個放水」計算!$AL$26:$AX$26,◆入力◆④「1個放水」計算!$AL$27:$AX$27),IF(OR(I37="SGP",I37="フレキ"),LOOKUP(I38,◆入力◆④「1個放水」計算!$AL$37:$AX$37,◆入力◆④「1個放水」計算!$AL$38:$AX$38),IF(I37="SUS",LOOKUP(I38,◆入力◆④「1個放水」計算!$AL$48:$AX$48,◆入力◆④「1個放水」計算!$AL$49:$AX$49),IF(OR(I37="PE",I37="PP"),LOOKUP(I38,◆入力◆④「1個放水」計算!$AL$59:$AX$59,◆入力◆④「1個放水」計算!$AL$60:$AX$60))))))))</f>
        <v>0</v>
      </c>
      <c r="J39" s="121"/>
      <c r="K39" s="165"/>
      <c r="L39" s="98"/>
      <c r="M39" s="151"/>
      <c r="N39" s="93"/>
      <c r="O39" s="87">
        <f>IF(I38=0,0,"Ｔ分")</f>
        <v>0</v>
      </c>
      <c r="P39" s="152">
        <f>IF($F$55&gt;=ROW()-11,◆入力◆④「1個放水」計算!P39,0)</f>
        <v>0</v>
      </c>
      <c r="Q39" s="88">
        <f>IF(I38=0,0,IF(I37="SGP-VB",LOOKUP(I38,◆入力◆④「1個放水」計算!$AL$4:$AX$4,◆入力◆④「1個放水」計算!$AL$8:$AX$8),IF(I37="SGP-PB",LOOKUP(I38,◆入力◆④「1個放水」計算!$AL$15:$AX$15,◆入力◆④「1個放水」計算!$AL$19:$AX$19),IF(I37="HIVP",LOOKUP(I38,◆入力◆④「1個放水」計算!$AL$26:$AX$26,◆入力◆④「1個放水」計算!$AL$30:$AX$30),IF(OR(I37="SGP",I37="フレキ"),LOOKUP(I38,◆入力◆④「1個放水」計算!$AL$37:$AX$37,◆入力◆④「1個放水」計算!$AL$41:$AX$41),IF(I37="SUS",LOOKUP(I38,◆入力◆④「1個放水」計算!$AL$48:$AX$48,◆入力◆④「1個放水」計算!$AL$52:$AX$52),IF(OR(I37="PE",I37="PP"),LOOKUP(I38,◆入力◆④「1個放水」計算!$AL$59:$AX$59,◆入力◆④「1個放水」計算!$AL$64:$AX$64))))))))</f>
        <v>0</v>
      </c>
      <c r="R39" s="100">
        <f t="shared" si="0"/>
        <v>0</v>
      </c>
      <c r="S39" s="101"/>
      <c r="T39" s="92"/>
      <c r="U39" s="147">
        <f>IF($F$55&gt;=ROW()-11,◆入力◆④「1個放水」計算!U39,0)</f>
        <v>0</v>
      </c>
      <c r="V39" s="152">
        <f>IF($F$55&gt;=ROW()-11,◆入力◆④「1個放水」計算!V39,0)</f>
        <v>0</v>
      </c>
      <c r="W39" s="100">
        <f>IF($U39="Yスト",AC39,IF($I37="sgp-vb",AD39,IF($I37="sgp-pb",AE39,IF($I37="hivp",AF39,IF(OR($I37="sgp",$I37="フレキ"),AG39,IF($I37="sus",AH39,IF(OR($I37="PE",$I37="PP"),AI39,0)))))))</f>
        <v>0</v>
      </c>
      <c r="X39" s="100">
        <f t="shared" si="1"/>
        <v>0</v>
      </c>
      <c r="Y39" s="101"/>
      <c r="Z39" s="92">
        <f>ROUNDUP(L38*Y38,2)</f>
        <v>0</v>
      </c>
      <c r="AA39" s="40"/>
      <c r="AB39" s="76"/>
      <c r="AC39" s="90">
        <f>IF(U39="Yスト",IF(I37="SGP-VB",LOOKUP(I38,◆入力◆④「1個放水」計算!$AL$4:$AX$4,◆入力◆④「1個放水」計算!$AL$11:$AX$11),IF(I37="SGP-PB",LOOKUP(I38,◆入力◆④「1個放水」計算!$AL$15:$AX$15,◆入力◆④「1個放水」計算!$AL$22:$AX$22),IF(I37="HIVP",LOOKUP(I38,◆入力◆④「1個放水」計算!$AL$26:$AX$26,◆入力◆④「1個放水」計算!$AL$33:$AX$33),IF(OR(I37="SGP",I37="フレキ"),LOOKUP(I38,◆入力◆④「1個放水」計算!$AL$37:$AX$37,◆入力◆④「1個放水」計算!$AL$44:$AX$44),IF(I37="SUS",LOOKUP(I38,◆入力◆④「1個放水」計算!$AL$48:$AX$48,◆入力◆④「1個放水」計算!$AL$55:$AX$55),IF(OR(I37="PE",I37="PP"),LOOKUP(I38,◆入力◆④「1個放水」計算!$AL$59:$AX$59,◆入力◆④「1個放水」計算!$AL$67:$AX$67))))))),0)</f>
        <v>0</v>
      </c>
      <c r="AD39" s="90">
        <f>IF($U39="仕切弁",LOOKUP($I38,◆入力◆④「1個放水」計算!$AL$4:$AX$4,◆入力◆④「1個放水」計算!$AL$9:$AX$9),IF($U39="逆止弁",LOOKUP($I38,◆入力◆④「1個放水」計算!$AL$4:$AX$4,◆入力◆④「1個放水」計算!$AL$10:$AX$10),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E39" s="90">
        <f>IF($U39="仕切弁",LOOKUP($I38,◆入力◆④「1個放水」計算!$AL$15:$AX$15,◆入力◆④「1個放水」計算!$AL$20:$AX$20),IF($U39="逆止弁",LOOKUP($I38,◆入力◆④「1個放水」計算!$AL$15:$AX$15,◆入力◆④「1個放水」計算!$AL$21:$AX$21),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F39" s="90">
        <f>IF($U39="仕切弁",LOOKUP($I38,◆入力◆④「1個放水」計算!$AL$26:$AX$26,◆入力◆④「1個放水」計算!$AL$31:$AX$31),IF($U39="逆止弁",LOOKUP($I38,◆入力◆④「1個放水」計算!$AL$26:$AX$26,◆入力◆④「1個放水」計算!$AL$32:$AX$32),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G39" s="90">
        <f>IF($U39="仕切弁",LOOKUP($I38,◆入力◆④「1個放水」計算!$AL$37:$AX$37,◆入力◆④「1個放水」計算!$AL$42:$AX$42),IF($U39="逆止弁",LOOKUP($I38,◆入力◆④「1個放水」計算!$AL$37:$AX$37,◆入力◆④「1個放水」計算!$AL$43:$AX$43),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H39" s="90">
        <f>IF($U39="仕切弁",LOOKUP($I38,◆入力◆④「1個放水」計算!$AL$48:$AX$48,◆入力◆④「1個放水」計算!$AL$53:$AX$53),IF($U39="逆止弁",LOOKUP($I38,◆入力◆④「1個放水」計算!$AL$48:$AX$48,◆入力◆④「1個放水」計算!$AL$54:$AX$54),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I39" s="90">
        <f>IF($U39="仕切弁",LOOKUP($I38,◆入力◆④「1個放水」計算!$AL$59:$AX$59,◆入力◆④「1個放水」計算!$AL$65:$AX$65),IF($U39="逆止弁",LOOKUP($I38,◆入力◆④「1個放水」計算!$AL$59:$AX$59,◆入力◆④「1個放水」計算!$AL$66:$AX$66),IF($U39="水道メーター",LOOKUP($I38,◆入力◆④「1個放水」計算!$AL$70:$AQ$70,◆入力◆④「1個放水」計算!$AL$71:$AQ$71),IF($U39="止水栓",LOOKUP($I38,◆入力◆④「1個放水」計算!$AL$70:$AQ$70,◆入力◆④「1個放水」計算!$AL$72:$AQ$72),IF($U39="分水栓",LOOKUP($I38,◆入力◆④「1個放水」計算!$AL$70:$AQ$70,◆入力◆④「1個放水」計算!$AL$73:$AQ$73),IF($U39="巻き出しフレキ",LOOKUP($I38,◆入力◆④「1個放水」計算!$AL$70:$AQ$70,◆入力◆④「1個放水」計算!$AL$74:$AQ$74),IF($U39="",0,0)))))))</f>
        <v>0</v>
      </c>
      <c r="AJ39" s="115"/>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row>
    <row r="40" spans="6:70" x14ac:dyDescent="0.15">
      <c r="F40" s="235" t="s">
        <v>31</v>
      </c>
      <c r="G40" s="40"/>
      <c r="H40" s="132"/>
      <c r="I40" s="133">
        <f>IF($F$55&gt;=ROW()-9,◆入力◆④「1個放水」計算!I40,0)</f>
        <v>0</v>
      </c>
      <c r="J40" s="121"/>
      <c r="K40" s="164"/>
      <c r="L40" s="74"/>
      <c r="M40" s="142"/>
      <c r="N40" s="76"/>
      <c r="O40" s="77">
        <f>IF(I41=0,0,"E９０°")</f>
        <v>0</v>
      </c>
      <c r="P40" s="136">
        <f>IF($F$55&gt;=ROW()-9,◆入力◆④「1個放水」計算!P40,0)</f>
        <v>0</v>
      </c>
      <c r="Q40" s="79">
        <f>IF(I41=0,0,IF(I40="SGP-VB",LOOKUP(I41,◆入力◆④「1個放水」計算!$AL$4:$AX$4,◆入力◆④「1個放水」計算!$AL$6:$AX$6),IF(I40="SGP-PB",LOOKUP(I41,◆入力◆④「1個放水」計算!$AL$15:$AX$15,◆入力◆④「1個放水」計算!$AL$17:$AX$17),IF(I40="HIVP",LOOKUP(I41,◆入力◆④「1個放水」計算!$AL$26:$AX$26,◆入力◆④「1個放水」計算!$AL$28:$AX$28),IF(OR(I40="SGP",I40="フレキ"),LOOKUP(I41,◆入力◆④「1個放水」計算!$AL$37:$AX$37,◆入力◆④「1個放水」計算!$AL$39:$AX$39),IF(I40="SUS",LOOKUP(I41,◆入力◆④「1個放水」計算!$AL$48:$AX$48,◆入力◆④「1個放水」計算!$AL$50:$AX$50),IF(OR(I40="PE",I40="PP"),LOOKUP(I41,◆入力◆④「1個放水」計算!$AL$59:$AX$59,◆入力◆④「1個放水」計算!$AL$61:$AX$61))))))))</f>
        <v>0</v>
      </c>
      <c r="R40" s="79">
        <f t="shared" si="0"/>
        <v>0</v>
      </c>
      <c r="S40" s="80"/>
      <c r="T40" s="81">
        <v>0</v>
      </c>
      <c r="U40" s="137">
        <f>IF($F$55&gt;=ROW()-9,◆入力◆④「1個放水」計算!U40,0)</f>
        <v>0</v>
      </c>
      <c r="V40" s="138">
        <f>IF($F$55&gt;=ROW()-9,◆入力◆④「1個放水」計算!V40,0)</f>
        <v>0</v>
      </c>
      <c r="W40" s="82">
        <f>IF($U40="Yスト",AC40,IF($I40="sgp-vb",AD40,IF($I40="sgp-pb",AE40,IF($I40="hivp",AF40,IF(OR($I40="sgp",$I40="フレキ"),AG40,IF($I40="sus",AH40,IF(OR($I40="PE",$I40="PP"),AI40,0)))))))</f>
        <v>0</v>
      </c>
      <c r="X40" s="82">
        <f t="shared" si="1"/>
        <v>0</v>
      </c>
      <c r="Y40" s="83"/>
      <c r="Z40" s="84">
        <f>IF(AND($U40="電動弁",$V40=1),LOOKUP($K41,◆入力◆④「1個放水」計算!$AL$77:$BQ$77,◆入力◆④「1個放水」計算!$AL$78:$BQ$78),IF(AND($U41="電動弁",$V41=1),LOOKUP($K41,◆入力◆④「1個放水」計算!$AL$77:$BQ$77,◆入力◆④「1個放水」計算!$AL$78:$BQ$78),IF(AND($U42="電動弁",$V42=1),LOOKUP($K41,◆入力◆④「1個放水」計算!$AL$77:$BQ$77,◆入力◆④「1個放水」計算!$AL$78:$BQ$78),0)))</f>
        <v>0</v>
      </c>
      <c r="AA40" s="40"/>
      <c r="AB40" s="85"/>
      <c r="AC40" s="86">
        <f>IF(U40="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0" s="86">
        <f>IF($U40="仕切弁",LOOKUP($I41,◆入力◆④「1個放水」計算!$AL$4:$AX$4,◆入力◆④「1個放水」計算!$AL$9:$AX$9),IF($U40="逆止弁",LOOKUP($I41,◆入力◆④「1個放水」計算!$AL$4:$AX$4,◆入力◆④「1個放水」計算!$AL$10:$AX$10),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E40" s="86">
        <f>IF($U40="仕切弁",LOOKUP($I41,◆入力◆④「1個放水」計算!$AL$15:$AX$15,◆入力◆④「1個放水」計算!$AL$20:$AX$20),IF($U40="逆止弁",LOOKUP($I41,◆入力◆④「1個放水」計算!$AL$15:$AX$15,◆入力◆④「1個放水」計算!$AL$21:$AX$21),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F40" s="86">
        <f>IF($U40="仕切弁",LOOKUP($I41,◆入力◆④「1個放水」計算!$AL$26:$AX$26,◆入力◆④「1個放水」計算!$AL$31:$AX$31),IF($U40="逆止弁",LOOKUP($I41,◆入力◆④「1個放水」計算!$AL$26:$AX$26,◆入力◆④「1個放水」計算!$AL$32:$AX$32),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G40" s="86">
        <f>IF($U40="仕切弁",LOOKUP($I41,◆入力◆④「1個放水」計算!$AL$37:$AX$37,◆入力◆④「1個放水」計算!$AL$42:$AX$42),IF($U40="逆止弁",LOOKUP($I41,◆入力◆④「1個放水」計算!$AL$37:$AX$37,◆入力◆④「1個放水」計算!$AL$43:$AX$43),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H40" s="86">
        <f>IF($U40="仕切弁",LOOKUP($I41,◆入力◆④「1個放水」計算!$AL$48:$AX$48,◆入力◆④「1個放水」計算!$AL$53:$AX$53),IF($U40="逆止弁",LOOKUP($I41,◆入力◆④「1個放水」計算!$AL$48:$AX$48,◆入力◆④「1個放水」計算!$AL$54:$AX$54),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I40" s="86">
        <f>IF($U40="仕切弁",LOOKUP($I41,◆入力◆④「1個放水」計算!$AL$59:$AX$59,◆入力◆④「1個放水」計算!$AL$65:$AX$65),IF($U40="逆止弁",LOOKUP($I41,◆入力◆④「1個放水」計算!$AL$59:$AX$59,◆入力◆④「1個放水」計算!$AL$66:$AX$66),IF($U40="水道メーター",LOOKUP($I41,◆入力◆④「1個放水」計算!$AL$70:$AQ$70,◆入力◆④「1個放水」計算!$AL$71:$AQ$71),IF($U40="止水栓",LOOKUP($I41,◆入力◆④「1個放水」計算!$AL$70:$AQ$70,◆入力◆④「1個放水」計算!$AL$72:$AQ$72),IF($U40="分水栓",LOOKUP($I41,◆入力◆④「1個放水」計算!$AL$70:$AQ$70,◆入力◆④「1個放水」計算!$AL$73:$AQ$73),IF($U40="巻き出しフレキ",LOOKUP($I41,◆入力◆④「1個放水」計算!$AL$70:$AQ$70,◆入力◆④「1個放水」計算!$AL$74:$AQ$74),IF($U40="",0,0)))))))</f>
        <v>0</v>
      </c>
      <c r="AJ40" s="115"/>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row>
    <row r="41" spans="6:70" ht="14.25" customHeight="1" x14ac:dyDescent="0.15">
      <c r="F41" s="235"/>
      <c r="G41" s="40"/>
      <c r="H41" s="149">
        <f>IF($F$55&gt;=ROW()-10,◆入力◆④「1個放水」計算!H41,0)</f>
        <v>0</v>
      </c>
      <c r="I41" s="140">
        <f>IF($F$55&gt;=ROW()-10,◆入力◆④「1個放水」計算!I41,0)</f>
        <v>0</v>
      </c>
      <c r="J41" s="121"/>
      <c r="K41" s="165">
        <f>IF($F$55&gt;=ROW()-10,◆入力◆④「1個放水」計算!K41,0)</f>
        <v>0</v>
      </c>
      <c r="L41" s="74">
        <f>IF(I41=0,0,IF(I41&gt;=65,K41^1.85*0.012/I42^4.87,ROUNDUP((0.0126+(0.01739-(0.1087*I42/100))/SQRT(4*K41/(60000*PI()*(I42/100)^2)))*(1/(I42/100))*((4*K41/(60000*PI()*(I42/100)^2))^2/(2*9.8)),4)))</f>
        <v>0</v>
      </c>
      <c r="M41" s="142">
        <f>IF($F$55&gt;=ROW()-10,◆入力◆④「1個放水」計算!M41,0)</f>
        <v>0</v>
      </c>
      <c r="N41" s="84">
        <f>ROUNDUP(L41*M41,2)</f>
        <v>0</v>
      </c>
      <c r="O41" s="87">
        <f>IF(I41=0,0,"Ｔ直")</f>
        <v>0</v>
      </c>
      <c r="P41" s="138">
        <f>IF($F$55&gt;=ROW()-10,◆入力◆④「1個放水」計算!P41,0)</f>
        <v>0</v>
      </c>
      <c r="Q41" s="82">
        <f>IF(I41=0,0,IF(I40="SGP-VB",LOOKUP(I41,◆入力◆④「1個放水」計算!$AL$4:$AX$4,◆入力◆④「1個放水」計算!$AL$7:$AX$7),IF(I40="SGP-PB",LOOKUP(I41,◆入力◆④「1個放水」計算!$AL$15:$AX$15,◆入力◆④「1個放水」計算!$AL$18:$AX$18),IF(I40="HIVP",LOOKUP(I41,◆入力◆④「1個放水」計算!$AL$26:$AX$26,◆入力◆④「1個放水」計算!$AL$29:$AX$29),IF(OR(I40="SGP",I40="フレキ"),LOOKUP(I41,◆入力◆④「1個放水」計算!$AL$37:$AX$37,◆入力◆④「1個放水」計算!$AL$40:$AX$40),IF(I40="SUS",LOOKUP(I41,◆入力◆④「1個放水」計算!$AL$48:$AX$48,◆入力◆④「1個放水」計算!$AL$51:$AX$51),IF(OR(I40="PE",I40="PP"),LOOKUP(I41,◆入力◆④「1個放水」計算!$AL$59:$AX$59,◆入力◆④「1個放水」計算!$AL$63:$AX$63))))))))</f>
        <v>0</v>
      </c>
      <c r="R41" s="82">
        <f t="shared" si="0"/>
        <v>0</v>
      </c>
      <c r="S41" s="83">
        <f>R40+R41+R42</f>
        <v>0</v>
      </c>
      <c r="T41" s="84">
        <f>ROUNDUP(L41*S41,2)</f>
        <v>0</v>
      </c>
      <c r="U41" s="143">
        <f>IF($F$55&gt;=ROW()-10,◆入力◆④「1個放水」計算!U41,0)</f>
        <v>0</v>
      </c>
      <c r="V41" s="138">
        <f>IF($F$55&gt;=ROW()-10,◆入力◆④「1個放水」計算!V41,0)</f>
        <v>0</v>
      </c>
      <c r="W41" s="82">
        <f>IF($U41="Yスト",AC41,IF($I40="sgp-vb",AD41,IF($I40="sgp-pb",AE41,IF($I40="hivp",AF41,IF(OR($I40="sgp",$I40="フレキ"),AG41,IF($I40="sus",AH41,IF(OR($I40="PE",$I40="PP"),AI41,0)))))))</f>
        <v>0</v>
      </c>
      <c r="X41" s="82">
        <f t="shared" si="1"/>
        <v>0</v>
      </c>
      <c r="Y41" s="83">
        <f>SUM(X40:X42)</f>
        <v>0</v>
      </c>
      <c r="Z41" s="84"/>
      <c r="AA41" s="40"/>
      <c r="AB41" s="84">
        <f>N41+T41+Z40+Z41+Z42</f>
        <v>0</v>
      </c>
      <c r="AC41" s="89">
        <f>IF(U41="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1" s="90">
        <f>IF($U41="仕切弁",LOOKUP($I41,◆入力◆④「1個放水」計算!$AL$4:$AX$4,◆入力◆④「1個放水」計算!$AL$9:$AX$9),IF($U41="逆止弁",LOOKUP($I41,◆入力◆④「1個放水」計算!$AL$4:$AX$4,◆入力◆④「1個放水」計算!$AL$10:$AX$10),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E41" s="90">
        <f>IF($U41="仕切弁",LOOKUP($I41,◆入力◆④「1個放水」計算!$AL$15:$AX$15,◆入力◆④「1個放水」計算!$AL$20:$AX$20),IF($U41="逆止弁",LOOKUP($I41,◆入力◆④「1個放水」計算!$AL$15:$AX$15,◆入力◆④「1個放水」計算!$AL$21:$AX$21),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F41" s="90">
        <f>IF($U41="仕切弁",LOOKUP($I41,◆入力◆④「1個放水」計算!$AL$26:$AX$26,◆入力◆④「1個放水」計算!$AL$31:$AX$31),IF($U41="逆止弁",LOOKUP($I41,◆入力◆④「1個放水」計算!$AL$26:$AX$26,◆入力◆④「1個放水」計算!$AL$32:$AX$32),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G41" s="90">
        <f>IF($U41="仕切弁",LOOKUP($I41,◆入力◆④「1個放水」計算!$AL$37:$AX$37,◆入力◆④「1個放水」計算!$AL$42:$AX$42),IF($U41="逆止弁",LOOKUP($I41,◆入力◆④「1個放水」計算!$AL$37:$AX$37,◆入力◆④「1個放水」計算!$AL$43:$AX$43),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H41" s="90">
        <f>IF($U41="仕切弁",LOOKUP($I41,◆入力◆④「1個放水」計算!$AL$48:$AX$48,◆入力◆④「1個放水」計算!$AL$53:$AX$53),IF($U41="逆止弁",LOOKUP($I41,◆入力◆④「1個放水」計算!$AL$48:$AX$48,◆入力◆④「1個放水」計算!$AL$54:$AX$54),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I41" s="90">
        <f>IF($U41="仕切弁",LOOKUP($I41,◆入力◆④「1個放水」計算!$AL$59:$AX$59,◆入力◆④「1個放水」計算!$AL$65:$AX$65),IF($U41="逆止弁",LOOKUP($I41,◆入力◆④「1個放水」計算!$AL$59:$AX$59,◆入力◆④「1個放水」計算!$AL$66:$AX$66),IF($U41="水道メーター",LOOKUP($I41,◆入力◆④「1個放水」計算!$AL$70:$AQ$70,◆入力◆④「1個放水」計算!$AL$71:$AQ$71),IF($U41="止水栓",LOOKUP($I41,◆入力◆④「1個放水」計算!$AL$70:$AQ$70,◆入力◆④「1個放水」計算!$AL$72:$AQ$72),IF($U41="分水栓",LOOKUP($I41,◆入力◆④「1個放水」計算!$AL$70:$AQ$70,◆入力◆④「1個放水」計算!$AL$73:$AQ$73),IF($U41="巻き出しフレキ",LOOKUP($I41,◆入力◆④「1個放水」計算!$AL$70:$AQ$70,◆入力◆④「1個放水」計算!$AL$74:$AQ$74),IF($U41="",0,0)))))))</f>
        <v>0</v>
      </c>
      <c r="AJ41" s="115"/>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row>
    <row r="42" spans="6:70" ht="15" thickBot="1" x14ac:dyDescent="0.2">
      <c r="F42" s="236"/>
      <c r="G42" s="40"/>
      <c r="H42" s="145"/>
      <c r="I42" s="146" t="b">
        <f>IF(I41="",0,IF(I40="SGP-VB",LOOKUP(I41,◆入力◆④「1個放水」計算!$AL$4:$AX$4,◆入力◆④「1個放水」計算!$AL$5:$AX$5),IF(I40="SGP-PB",LOOKUP(I41,◆入力◆④「1個放水」計算!$AL$15:$AX$15,◆入力◆④「1個放水」計算!$AL$16:$AX$16),IF(I40="HIVP",LOOKUP(I41,◆入力◆④「1個放水」計算!$AL$26:$AX$26,◆入力◆④「1個放水」計算!$AL$27:$AX$27),IF(OR(I40="SGP",I40="フレキ"),LOOKUP(I41,◆入力◆④「1個放水」計算!$AL$37:$AX$37,◆入力◆④「1個放水」計算!$AL$38:$AX$38),IF(I40="SUS",LOOKUP(I41,◆入力◆④「1個放水」計算!$AL$48:$AX$48,◆入力◆④「1個放水」計算!$AL$49:$AX$49),IF(OR(I40="PE",I40="PP"),LOOKUP(I41,◆入力◆④「1個放水」計算!$AL$59:$AX$59,◆入力◆④「1個放水」計算!$AL$60:$AX$60))))))))</f>
        <v>0</v>
      </c>
      <c r="J42" s="121"/>
      <c r="K42" s="166"/>
      <c r="L42" s="98"/>
      <c r="M42" s="151"/>
      <c r="N42" s="110"/>
      <c r="O42" s="111">
        <f>IF(I41=0,0,"Ｔ分")</f>
        <v>0</v>
      </c>
      <c r="P42" s="152">
        <f>IF($F$55&gt;=ROW()-11,◆入力◆④「1個放水」計算!P42,0)</f>
        <v>0</v>
      </c>
      <c r="Q42" s="100">
        <f>IF(I41=0,0,IF(I40="SGP-VB",LOOKUP(I41,◆入力◆④「1個放水」計算!$AL$4:$AX$4,◆入力◆④「1個放水」計算!$AL$8:$AX$8),IF(I40="SGP-PB",LOOKUP(I41,◆入力◆④「1個放水」計算!$AL$15:$AX$15,◆入力◆④「1個放水」計算!$AL$19:$AX$19),IF(I40="HIVP",LOOKUP(I41,◆入力◆④「1個放水」計算!$AL$26:$AX$26,◆入力◆④「1個放水」計算!$AL$30:$AX$30),IF(OR(I40="SGP",I40="フレキ"),LOOKUP(I41,◆入力◆④「1個放水」計算!$AL$37:$AX$37,◆入力◆④「1個放水」計算!$AL$41:$AX$41),IF(I40="SUS",LOOKUP(I41,◆入力◆④「1個放水」計算!$AL$48:$AX$48,◆入力◆④「1個放水」計算!$AL$52:$AX$52),IF(OR(I40="PE",I40="PP"),LOOKUP(I41,◆入力◆④「1個放水」計算!$AL$59:$AX$59,◆入力◆④「1個放水」計算!$AL$64:$AX$64))))))))</f>
        <v>0</v>
      </c>
      <c r="R42" s="100">
        <f t="shared" si="0"/>
        <v>0</v>
      </c>
      <c r="S42" s="101"/>
      <c r="T42" s="112"/>
      <c r="U42" s="147">
        <f>IF($F$55&gt;=ROW()-11,◆入力◆④「1個放水」計算!U42,0)</f>
        <v>0</v>
      </c>
      <c r="V42" s="152">
        <f>IF($F$55&gt;=ROW()-11,◆入力◆④「1個放水」計算!V42,0)</f>
        <v>0</v>
      </c>
      <c r="W42" s="100">
        <f>IF($U42="Yスト",AC42,IF($I40="sgp-vb",AD42,IF($I40="sgp-pb",AE42,IF($I40="hivp",AF42,IF(OR($I40="sgp",$I40="フレキ"),AG42,IF($I40="sus",AH42,IF(OR($I40="PE",$I40="PP"),AI42,0)))))))</f>
        <v>0</v>
      </c>
      <c r="X42" s="100">
        <f t="shared" si="1"/>
        <v>0</v>
      </c>
      <c r="Y42" s="101"/>
      <c r="Z42" s="112">
        <f>ROUNDUP(L41*Y41,2)</f>
        <v>0</v>
      </c>
      <c r="AA42" s="40"/>
      <c r="AB42" s="110"/>
      <c r="AC42" s="113">
        <f>IF(U42="Yスト",IF(I40="SGP-VB",LOOKUP(I41,◆入力◆④「1個放水」計算!$AL$4:$AX$4,◆入力◆④「1個放水」計算!$AL$11:$AX$11),IF(I40="SGP-PB",LOOKUP(I41,◆入力◆④「1個放水」計算!$AL$15:$AX$15,◆入力◆④「1個放水」計算!$AL$22:$AX$22),IF(I40="HIVP",LOOKUP(I41,◆入力◆④「1個放水」計算!$AL$26:$AX$26,◆入力◆④「1個放水」計算!$AL$33:$AX$33),IF(OR(I40="SGP",I40="フレキ"),LOOKUP(I41,◆入力◆④「1個放水」計算!$AL$37:$AX$37,◆入力◆④「1個放水」計算!$AL$44:$AX$44),IF(I40="SUS",LOOKUP(I41,◆入力◆④「1個放水」計算!$AL$48:$AX$48,◆入力◆④「1個放水」計算!$AL$55:$AX$55),IF(OR(I40="PE",I40="PP"),LOOKUP(I41,◆入力◆④「1個放水」計算!$AL$59:$AX$59,◆入力◆④「1個放水」計算!$AL$67:$AX$67))))))),0)</f>
        <v>0</v>
      </c>
      <c r="AD42" s="114">
        <f>IF($U42="仕切弁",LOOKUP($I41,◆入力◆④「1個放水」計算!$AL$4:$AX$4,◆入力◆④「1個放水」計算!$AL$9:$AX$9),IF($U42="逆止弁",LOOKUP($I41,◆入力◆④「1個放水」計算!$AL$4:$AX$4,◆入力◆④「1個放水」計算!$AL$10:$AX$10),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E42" s="114">
        <f>IF($U42="仕切弁",LOOKUP($I41,◆入力◆④「1個放水」計算!$AL$15:$AX$15,◆入力◆④「1個放水」計算!$AL$20:$AX$20),IF($U42="逆止弁",LOOKUP($I41,◆入力◆④「1個放水」計算!$AL$15:$AX$15,◆入力◆④「1個放水」計算!$AL$21:$AX$21),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F42" s="114">
        <f>IF($U42="仕切弁",LOOKUP($I41,◆入力◆④「1個放水」計算!$AL$26:$AX$26,◆入力◆④「1個放水」計算!$AL$31:$AX$31),IF($U42="逆止弁",LOOKUP($I41,◆入力◆④「1個放水」計算!$AL$26:$AX$26,◆入力◆④「1個放水」計算!$AL$32:$AX$32),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G42" s="114">
        <f>IF($U42="仕切弁",LOOKUP($I41,◆入力◆④「1個放水」計算!$AL$37:$AX$37,◆入力◆④「1個放水」計算!$AL$42:$AX$42),IF($U42="逆止弁",LOOKUP($I41,◆入力◆④「1個放水」計算!$AL$37:$AX$37,◆入力◆④「1個放水」計算!$AL$43:$AX$43),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H42" s="114">
        <f>IF($U42="仕切弁",LOOKUP($I41,◆入力◆④「1個放水」計算!$AL$48:$AX$48,◆入力◆④「1個放水」計算!$AL$53:$AX$53),IF($U42="逆止弁",LOOKUP($I41,◆入力◆④「1個放水」計算!$AL$48:$AX$48,◆入力◆④「1個放水」計算!$AL$54:$AX$54),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I42" s="114">
        <f>IF($U42="仕切弁",LOOKUP($I41,◆入力◆④「1個放水」計算!$AL$59:$AX$59,◆入力◆④「1個放水」計算!$AL$65:$AX$65),IF($U42="逆止弁",LOOKUP($I41,◆入力◆④「1個放水」計算!$AL$59:$AX$59,◆入力◆④「1個放水」計算!$AL$66:$AX$66),IF($U42="水道メーター",LOOKUP($I41,◆入力◆④「1個放水」計算!$AL$70:$AQ$70,◆入力◆④「1個放水」計算!$AL$71:$AQ$71),IF($U42="止水栓",LOOKUP($I41,◆入力◆④「1個放水」計算!$AL$70:$AQ$70,◆入力◆④「1個放水」計算!$AL$72:$AQ$72),IF($U42="分水栓",LOOKUP($I41,◆入力◆④「1個放水」計算!$AL$70:$AQ$70,◆入力◆④「1個放水」計算!$AL$73:$AQ$73),IF($U42="巻き出しフレキ",LOOKUP($I41,◆入力◆④「1個放水」計算!$AL$70:$AQ$70,◆入力◆④「1個放水」計算!$AL$74:$AQ$74),IF($U42="",0,0)))))))</f>
        <v>0</v>
      </c>
      <c r="AJ42" s="115"/>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row>
    <row r="43" spans="6:70" ht="17.25" customHeight="1" thickBot="1" x14ac:dyDescent="0.2">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115"/>
      <c r="AF43" s="115"/>
      <c r="AG43" s="115"/>
      <c r="AH43" s="115"/>
      <c r="AI43" s="115"/>
      <c r="AJ43" s="115"/>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row>
    <row r="44" spans="6:70" ht="18" customHeight="1" thickBot="1" x14ac:dyDescent="0.2">
      <c r="F44" s="40"/>
      <c r="G44" s="40"/>
      <c r="H44" s="64" t="s">
        <v>20</v>
      </c>
      <c r="I44" s="53"/>
      <c r="J44" s="40"/>
      <c r="K44" s="40"/>
      <c r="L44" s="40"/>
      <c r="M44" s="40"/>
      <c r="N44" s="116">
        <f>IF(OR(L46="h",L46="xs",L46="ｈ",L46="ｘｓ"),(N11+N14+N17+N20+N23+N26+N29+N32+N35+N38+N41)*1.1,N11+N14+N17+N20+N23+N26+N29+N32+N35+N38+N41)</f>
        <v>0</v>
      </c>
      <c r="O44" s="40"/>
      <c r="P44" s="40"/>
      <c r="Q44" s="40"/>
      <c r="R44" s="40"/>
      <c r="S44" s="40"/>
      <c r="T44" s="116">
        <f>IF(OR(L46="h",L46="xs",L46="ｈ",L46="ｘｓ"),(T10+T11+T14+T17+T20+T23+T26+T29+T32+T35+T38+T41)*1.1,T10+T11+T14+T17+T20+T23+T26+T29+T32+T35+T38+T41)</f>
        <v>0</v>
      </c>
      <c r="U44" s="40"/>
      <c r="V44" s="40"/>
      <c r="W44" s="40"/>
      <c r="X44" s="40"/>
      <c r="Y44" s="40"/>
      <c r="Z44" s="116">
        <f>SUM(Z10:Z42)</f>
        <v>0</v>
      </c>
      <c r="AA44" s="40"/>
      <c r="AB44" s="116">
        <f>N44+T44+Z44</f>
        <v>0</v>
      </c>
      <c r="AC44" s="88"/>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row>
    <row r="45" spans="6:70" ht="17.100000000000001" customHeight="1" x14ac:dyDescent="0.15">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row>
    <row r="46" spans="6:70" ht="20.100000000000001" customHeight="1" x14ac:dyDescent="0.15">
      <c r="F46" s="64" t="s">
        <v>32</v>
      </c>
      <c r="G46" s="66"/>
      <c r="H46" s="53"/>
      <c r="I46" s="155">
        <f>IF(L47="*1.1",ROUNDUP(AB44*1.1,2),IF(L47="＊１．１",ROUNDUP(AB44*1.1,2),IF(L47="*1.15",ROUNDUP(AB44*1.15,2),IF(L47="＊１．１５",ROUNDUP(AB44*1.15,2),AB44))))</f>
        <v>0</v>
      </c>
      <c r="J46" s="60"/>
      <c r="K46" s="362" t="s">
        <v>33</v>
      </c>
      <c r="L46" s="118" t="s">
        <v>43</v>
      </c>
      <c r="M46" s="54"/>
      <c r="N46" s="54"/>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row>
    <row r="47" spans="6:70" ht="20.100000000000001" customHeight="1" x14ac:dyDescent="0.15">
      <c r="F47" s="119" t="s">
        <v>49</v>
      </c>
      <c r="G47" s="54"/>
      <c r="H47" s="120"/>
      <c r="I47" s="162">
        <f>◆入力◆④「1個放水」計算!I47</f>
        <v>10</v>
      </c>
      <c r="J47" s="40"/>
      <c r="K47" s="362" t="s">
        <v>33</v>
      </c>
      <c r="L47" s="122">
        <f>IF(L46="S",0,IF(L46="Ｓ",0,IF(L46="F",0,IF(L46="Ｆ",0,IF(L46="*1.1","*1.1",IF(L46="＊１．１","*1.1",IF(L46="*1.15","*1.15",IF(L46="＊１．１５","*1.15",0))))))))</f>
        <v>0</v>
      </c>
      <c r="M47" s="54"/>
      <c r="N47" s="54"/>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row>
    <row r="48" spans="6:70" ht="20.100000000000001" customHeight="1" x14ac:dyDescent="0.15">
      <c r="F48" s="64" t="s">
        <v>34</v>
      </c>
      <c r="G48" s="66"/>
      <c r="H48" s="53"/>
      <c r="I48" s="162">
        <f>◆入力◆①配管容量!H47</f>
        <v>0</v>
      </c>
      <c r="J48" s="60"/>
      <c r="K48" s="362" t="s">
        <v>33</v>
      </c>
      <c r="L48" s="40"/>
      <c r="M48" s="40"/>
      <c r="N48" s="40"/>
      <c r="O48" s="363"/>
      <c r="P48" s="40"/>
      <c r="Q48" s="123"/>
      <c r="R48" s="363"/>
      <c r="S48" s="40"/>
      <c r="T48" s="123"/>
      <c r="U48" s="54"/>
      <c r="V48" s="54"/>
      <c r="W48" s="123"/>
      <c r="X48" s="123"/>
      <c r="Y48" s="54"/>
      <c r="Z48" s="54"/>
      <c r="AA48" s="54"/>
      <c r="AB48" s="123"/>
      <c r="AC48" s="123"/>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row>
    <row r="49" spans="6:70" ht="20.100000000000001" customHeight="1" x14ac:dyDescent="0.15">
      <c r="F49" s="119" t="s">
        <v>35</v>
      </c>
      <c r="G49" s="54"/>
      <c r="H49" s="120"/>
      <c r="I49" s="157">
        <f>SUM(I46:I48)</f>
        <v>10</v>
      </c>
      <c r="J49" s="40"/>
      <c r="K49" s="362" t="s">
        <v>33</v>
      </c>
      <c r="L49" s="40"/>
      <c r="M49" s="40"/>
      <c r="N49" s="40"/>
      <c r="O49" s="40"/>
      <c r="P49" s="40"/>
      <c r="Q49" s="54"/>
      <c r="R49" s="54"/>
      <c r="S49" s="54"/>
      <c r="T49" s="54"/>
      <c r="U49" s="54"/>
      <c r="V49" s="54"/>
      <c r="W49" s="54"/>
      <c r="X49" s="54"/>
      <c r="Y49" s="54"/>
      <c r="Z49" s="54"/>
      <c r="AA49" s="54"/>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row>
    <row r="50" spans="6:70" ht="20.100000000000001" customHeight="1" x14ac:dyDescent="0.15">
      <c r="F50" s="64" t="s">
        <v>57</v>
      </c>
      <c r="G50" s="66"/>
      <c r="H50" s="53"/>
      <c r="I50" s="158">
        <v>1.1000000000000001</v>
      </c>
      <c r="J50" s="60"/>
      <c r="K50" s="362"/>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row>
    <row r="51" spans="6:70" ht="20.100000000000001" customHeight="1" x14ac:dyDescent="0.15">
      <c r="F51" s="406" t="s">
        <v>79</v>
      </c>
      <c r="G51" s="407"/>
      <c r="H51" s="408"/>
      <c r="I51" s="217">
        <f>ROUNDUP(I49*I50,2)</f>
        <v>11</v>
      </c>
      <c r="J51" s="60"/>
      <c r="K51" s="362" t="s">
        <v>80</v>
      </c>
      <c r="L51" s="40"/>
      <c r="M51" s="54"/>
      <c r="N51" s="54"/>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row>
    <row r="52" spans="6:70" ht="20.100000000000001" customHeight="1" x14ac:dyDescent="0.15">
      <c r="F52" s="40"/>
      <c r="G52" s="40"/>
      <c r="H52" s="40"/>
      <c r="I52" s="40"/>
      <c r="J52" s="40"/>
      <c r="K52" s="56"/>
      <c r="L52" s="40"/>
      <c r="M52" s="54"/>
      <c r="N52" s="54"/>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row>
    <row r="53" spans="6:70" ht="20.100000000000001" customHeight="1" x14ac:dyDescent="0.15">
      <c r="F53" s="409" t="s">
        <v>84</v>
      </c>
      <c r="G53" s="415"/>
      <c r="H53" s="416"/>
      <c r="I53" s="217">
        <f>ROUNDUP(I51/100,2)</f>
        <v>0.11</v>
      </c>
      <c r="J53" s="60"/>
      <c r="K53" s="362" t="str">
        <f>"MPa"</f>
        <v>MPa</v>
      </c>
      <c r="L53" s="40"/>
      <c r="M53" s="54"/>
      <c r="N53" s="54"/>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row>
    <row r="54" spans="6:70" ht="20.100000000000001" customHeight="1" x14ac:dyDescent="0.15">
      <c r="F54" s="160" t="e">
        <f>MATCH("電動弁",◆入力◆④「1個放水」計算!U10:U42,0)</f>
        <v>#N/A</v>
      </c>
      <c r="G54" s="54"/>
      <c r="H54" s="54"/>
      <c r="I54" s="88"/>
      <c r="J54" s="40"/>
      <c r="K54" s="363"/>
      <c r="L54" s="40"/>
      <c r="M54" s="54"/>
      <c r="N54" s="54"/>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row>
    <row r="55" spans="6:70" ht="20.100000000000001" customHeight="1" x14ac:dyDescent="0.15">
      <c r="F55" s="160">
        <f>IF(ISERROR(F54),0,F54)</f>
        <v>0</v>
      </c>
      <c r="G55" s="54"/>
      <c r="H55" s="54"/>
      <c r="I55" s="40"/>
      <c r="J55" s="40"/>
      <c r="K55" s="52"/>
      <c r="L55" s="40"/>
      <c r="M55" s="54"/>
      <c r="N55" s="54"/>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row>
    <row r="56" spans="6:70" ht="20.100000000000001" customHeight="1" x14ac:dyDescent="0.15">
      <c r="F56" s="160">
        <f>IF(MOD(F55,3)=0,3,MOD(F55,3))</f>
        <v>3</v>
      </c>
      <c r="G56" s="54"/>
      <c r="H56" s="54"/>
      <c r="I56" s="40"/>
      <c r="J56" s="40"/>
      <c r="K56" s="52"/>
      <c r="L56" s="40"/>
      <c r="M56" s="54"/>
      <c r="N56" s="54"/>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row>
    <row r="57" spans="6:70" ht="20.100000000000001" customHeight="1" x14ac:dyDescent="0.15">
      <c r="F57" s="54"/>
      <c r="G57" s="54"/>
      <c r="H57" s="54"/>
      <c r="I57" s="40"/>
      <c r="J57" s="40"/>
      <c r="K57" s="52"/>
      <c r="L57" s="40"/>
      <c r="M57" s="54"/>
      <c r="N57" s="54"/>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row>
    <row r="58" spans="6:70" ht="20.100000000000001" customHeight="1" x14ac:dyDescent="0.15">
      <c r="F58" s="54"/>
      <c r="G58" s="54"/>
      <c r="H58" s="54"/>
      <c r="I58" s="40"/>
      <c r="J58" s="40"/>
      <c r="K58" s="52"/>
      <c r="L58" s="40"/>
      <c r="M58" s="54"/>
      <c r="N58" s="54"/>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row>
    <row r="59" spans="6:70" ht="20.100000000000001" customHeight="1" x14ac:dyDescent="0.15">
      <c r="F59" s="54"/>
      <c r="G59" s="54"/>
      <c r="H59" s="54"/>
      <c r="I59" s="40"/>
      <c r="J59" s="40"/>
      <c r="K59" s="52"/>
      <c r="L59" s="40"/>
      <c r="M59" s="54"/>
      <c r="N59" s="54"/>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row>
    <row r="60" spans="6:70" ht="20.100000000000001" customHeight="1" x14ac:dyDescent="0.15">
      <c r="F60" s="52"/>
      <c r="G60" s="52"/>
      <c r="H60" s="161"/>
      <c r="I60" s="123"/>
      <c r="J60" s="52"/>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row>
    <row r="61" spans="6:70" ht="20.100000000000001" customHeight="1" x14ac:dyDescent="0.15">
      <c r="F61" s="52"/>
      <c r="G61" s="52"/>
      <c r="H61" s="161"/>
      <c r="I61" s="123"/>
      <c r="J61" s="5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row>
    <row r="62" spans="6:70" ht="20.100000000000001" customHeight="1" x14ac:dyDescent="0.15">
      <c r="F62" s="52"/>
      <c r="G62" s="52"/>
      <c r="H62" s="161"/>
      <c r="I62" s="123"/>
      <c r="J62" s="5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row>
    <row r="63" spans="6:70" ht="20.100000000000001" customHeight="1" x14ac:dyDescent="0.15">
      <c r="L63" s="52"/>
      <c r="M63" s="52"/>
      <c r="N63" s="161"/>
      <c r="O63" s="123"/>
      <c r="P63" s="52"/>
      <c r="Q63" s="40"/>
      <c r="R63" s="123"/>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row>
    <row r="64" spans="6:70" ht="15" customHeight="1" x14ac:dyDescent="0.15">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row>
    <row r="65" spans="37:70" ht="15" customHeight="1" x14ac:dyDescent="0.15">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row>
    <row r="66" spans="37:70" ht="15" customHeight="1" x14ac:dyDescent="0.15">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row>
    <row r="67" spans="37:70" ht="15" customHeight="1" x14ac:dyDescent="0.15">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row>
    <row r="68" spans="37:70" ht="15" customHeight="1" x14ac:dyDescent="0.15">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row>
    <row r="69" spans="37:70" ht="15" customHeight="1" x14ac:dyDescent="0.15">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row>
    <row r="70" spans="37:70" ht="15" customHeight="1" x14ac:dyDescent="0.15">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row>
    <row r="71" spans="37:70" ht="15" customHeight="1" x14ac:dyDescent="0.15">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row>
    <row r="72" spans="37:70" ht="15" customHeight="1" x14ac:dyDescent="0.15">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row>
    <row r="73" spans="37:70" ht="15" customHeight="1" x14ac:dyDescent="0.15">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row>
    <row r="74" spans="37:70" ht="15" customHeight="1" x14ac:dyDescent="0.15">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row>
    <row r="75" spans="37:70" ht="15" customHeight="1" x14ac:dyDescent="0.15"/>
    <row r="76" spans="37:70" ht="15" customHeight="1" x14ac:dyDescent="0.15"/>
    <row r="77" spans="37:70" ht="15" customHeight="1" x14ac:dyDescent="0.15"/>
    <row r="78" spans="37:70" ht="15" customHeight="1" x14ac:dyDescent="0.15"/>
    <row r="79" spans="37:70" ht="15" customHeight="1" x14ac:dyDescent="0.15"/>
    <row r="80" spans="37:7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password="CEE3" sheet="1" objects="1" scenarios="1"/>
  <mergeCells count="10">
    <mergeCell ref="F1:M1"/>
    <mergeCell ref="F53:H53"/>
    <mergeCell ref="I3:L3"/>
    <mergeCell ref="O3:Q3"/>
    <mergeCell ref="X3:Z3"/>
    <mergeCell ref="AB8:AB9"/>
    <mergeCell ref="F51:H51"/>
    <mergeCell ref="F3:H3"/>
    <mergeCell ref="F5:H5"/>
    <mergeCell ref="T3:U3"/>
  </mergeCells>
  <phoneticPr fontId="4"/>
  <dataValidations count="2">
    <dataValidation allowBlank="1" showDropDown="1" showInputMessage="1" showErrorMessage="1" sqref="I10 I40 I28 I25 I34 I37 I13 I16 I19 I22 I31"/>
    <dataValidation type="list" allowBlank="1" showInputMessage="1" sqref="U10:U42">
      <formula1>#REF!</formula1>
    </dataValidation>
  </dataValidations>
  <printOptions horizontalCentered="1" verticalCentered="1"/>
  <pageMargins left="0.39370078740157483" right="0.39370078740157483" top="0.59055118110236227" bottom="0.39370078740157483" header="0.11811023622047245" footer="0.11811023622047245"/>
  <pageSetup paperSize="9" scale="67" orientation="landscape" horizontalDpi="400" verticalDpi="400" r:id="rId1"/>
  <headerFooter alignWithMargins="0">
    <oddHeader>&amp;RＴＭ２１５９６&amp;G　　(8/8)</oddHeader>
    <oddFooter>&amp;R&amp;"ＭＳ Ｐゴシック,太字"&amp;12&amp;G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21</vt:i4>
      </vt:variant>
    </vt:vector>
  </HeadingPairs>
  <TitlesOfParts>
    <vt:vector size="28" baseType="lpstr">
      <vt:lpstr>表紙</vt:lpstr>
      <vt:lpstr>◆入力◆①配管容量</vt:lpstr>
      <vt:lpstr>②「流量A」 計算</vt:lpstr>
      <vt:lpstr>③「流量B」計算</vt:lpstr>
      <vt:lpstr>◆入力◆④「1個放水」計算</vt:lpstr>
      <vt:lpstr>◆入力◆⑤「4個同時放水」計算</vt:lpstr>
      <vt:lpstr>⑥放水試験圧力</vt:lpstr>
      <vt:lpstr>◆入力◆①配管容量!Print_Area</vt:lpstr>
      <vt:lpstr>◆入力◆④「1個放水」計算!Print_Area</vt:lpstr>
      <vt:lpstr>◆入力◆⑤「4個同時放水」計算!Print_Area</vt:lpstr>
      <vt:lpstr>'②「流量A」 計算'!Print_Area</vt:lpstr>
      <vt:lpstr>③「流量B」計算!Print_Area</vt:lpstr>
      <vt:lpstr>⑥放水試験圧力!Print_Area</vt:lpstr>
      <vt:lpstr>表紙!Print_Area</vt:lpstr>
      <vt:lpstr>ブポ１個</vt:lpstr>
      <vt:lpstr>ブポ１個計算例</vt:lpstr>
      <vt:lpstr>ブポ４個</vt:lpstr>
      <vt:lpstr>ブポ４個計算例</vt:lpstr>
      <vt:lpstr>ブポＡ</vt:lpstr>
      <vt:lpstr>ブポＢ</vt:lpstr>
      <vt:lpstr>ブポ容積</vt:lpstr>
      <vt:lpstr>水直１個計算例</vt:lpstr>
      <vt:lpstr>水直４個計算例</vt:lpstr>
      <vt:lpstr>水道から直接給水</vt:lpstr>
      <vt:lpstr>水道用ブースターポンプを設置</vt:lpstr>
      <vt:lpstr>専ポ１個計算例</vt:lpstr>
      <vt:lpstr>専ポ４個計算例</vt:lpstr>
      <vt:lpstr>専用の消火ポンプを設置</vt:lpstr>
    </vt:vector>
  </TitlesOfParts>
  <Company>ＦＭＶユーザ</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ＦＭＶユーザ</dc:creator>
  <cp:lastModifiedBy>Administrator</cp:lastModifiedBy>
  <cp:lastPrinted>2015-03-26T06:55:59Z</cp:lastPrinted>
  <dcterms:created xsi:type="dcterms:W3CDTF">1997-04-08T02:27:37Z</dcterms:created>
  <dcterms:modified xsi:type="dcterms:W3CDTF">2015-11-18T02:07:21Z</dcterms:modified>
</cp:coreProperties>
</file>